
<file path=[Content_Types].xml><?xml version="1.0" encoding="utf-8"?>
<Types xmlns="http://schemas.openxmlformats.org/package/2006/content-type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Default Extension="vml" ContentType="application/vnd.openxmlformats-officedocument.vmlDrawing"/>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defaultThemeVersion="164011" filterPrivacy="1"/>
  <bookViews>
    <workbookView xWindow="0" yWindow="0" windowWidth="28000" windowHeight="16000" firstSheet="0" activeTab="0"/>
  </bookViews>
  <sheets>
    <sheet sheetId="1" name="About this template" state="visible" r:id="rId4"/>
    <sheet sheetId="2" name="Summary" state="visible" r:id="rId5"/>
    <sheet sheetId="3" name="Clauses 4 to 10" state="visible" r:id="rId6"/>
    <sheet sheetId="4" name="Annex A controls" state="visible" r:id="rId7"/>
  </sheets>
  <definedNames>
    <definedName name="_xlnm.Print_Titles" localSheetId="2">'Clauses 4 to 10'!$4:$4</definedName>
    <definedName name="_xlnm.Print_Titles" localSheetId="3">'Annex A controls'!$4:$4</definedName>
  </definedNames>
  <calcPr calcId="171027" fullCalcOnLoad="1"/>
</workbook>
</file>

<file path=xl/sharedStrings.xml><?xml version="1.0" encoding="utf-8"?>
<sst xmlns="http://schemas.openxmlformats.org/spreadsheetml/2006/main" count="605" uniqueCount="486">
  <si>
    <t>ISO 27001 gap analysis template (ISO/IEC 27001:2022)</t>
  </si>
  <si>
    <t>Sovereign Secure Ltd  |  Version: October 2026  |  Free to use and adapt within your organisation</t>
  </si>
  <si>
    <t>What this is</t>
  </si>
  <si>
    <t>A gap analysis template for ISO/IEC 27001:2022, including Amendment 1 (2024). It lists every sub-clause of the management system clauses 4 to 10 and all 93 Annex A controls, so you can score where you stand today, record the evidence you have, describe each gap and rank the work to close it. The Summary sheet turns your scores into a readiness percentage by clause and by Annex A theme.</t>
  </si>
  <si>
    <t>Read the guide</t>
  </si>
  <si>
    <t>https://sovereignsecure.co.uk/iso-27001-gap-analysis/</t>
  </si>
  <si>
    <t>What is in this workbook</t>
  </si>
  <si>
    <t>Summary</t>
  </si>
  <si>
    <t>Readiness by clause and by Annex A theme, how many lines sit at each score, open gaps by priority and your Annex A applicability decisions. It updates as you fill in the other sheets.</t>
  </si>
  <si>
    <t>Clauses 4 to 10</t>
  </si>
  <si>
    <t>25 lines covering every sub-clause from 4.1 to 10.2, with what each requires in plain English and the evidence an auditor usually samples. None can be excluded.</t>
  </si>
  <si>
    <t>Annex A controls</t>
  </si>
  <si>
    <t>All 93 Annex A controls in four themes (organisational, people, physical and technological), with a one-line summary of each and the 11 controls new in 2022 marked. Mark each control applicable or not, then score the applicable ones.</t>
  </si>
  <si>
    <t>How to use it</t>
  </si>
  <si>
    <t>Step 1</t>
  </si>
  <si>
    <t>Agree the scope first: which services, sites, teams and systems the ISMS will cover. Score against that scope only.</t>
  </si>
  <si>
    <t>Step 2</t>
  </si>
  <si>
    <t>On the Clauses 4 to 10 sheet, give every line a score from 0 to 3 based on the evidence you could show an auditor today, not what you intend to do.</t>
  </si>
  <si>
    <t>Step 3</t>
  </si>
  <si>
    <t>On the Annex A controls sheet, set Applicable to Yes or No for each control. A No needs a justification in your Statement of Applicability, so note the reason. Then score each applicable control.</t>
  </si>
  <si>
    <t>Step 4</t>
  </si>
  <si>
    <t>For every line below 3, write the gap in one sentence, set a priority (High, Medium or Low) by the risk it leaves open, and give it an owner and a target date.</t>
  </si>
  <si>
    <t>Step 5</t>
  </si>
  <si>
    <t>Filter the Priority column to build your remediation roadmap, and use the Status column to track the work.</t>
  </si>
  <si>
    <t>Step 6</t>
  </si>
  <si>
    <t>Re-score as you close gaps. The Summary sheet shows your progress, which is useful for board reports and project updates.</t>
  </si>
  <si>
    <t>Scoring scale</t>
  </si>
  <si>
    <t>Score 0</t>
  </si>
  <si>
    <t>Nothing in place yet. Shown as "Not met" in the Rating column.</t>
  </si>
  <si>
    <t>Score 1</t>
  </si>
  <si>
    <t>Documented or planned, but not yet operating. Shown as "Partly met" in the Rating column.</t>
  </si>
  <si>
    <t>Score 2</t>
  </si>
  <si>
    <t>Operating, but records are incomplete or not yet reviewed. Shown as "Partly met" in the Rating column.</t>
  </si>
  <si>
    <t>Score 3</t>
  </si>
  <si>
    <t>Operating, with dated records an auditor could sample. Shown as "Met" in the Rating column.</t>
  </si>
  <si>
    <t>Not applicable</t>
  </si>
  <si>
    <t>Annex A only, when you set Applicable to No. Clauses 4 to 10 cannot be excluded, so every clause line needs a score.</t>
  </si>
  <si>
    <t>Example</t>
  </si>
  <si>
    <t>Ref 6.1.2, Score: 1, Evidence: risk register held by IT only, Gap: no criteria for accepting risk and no named risk owners, Priority: High, Owner: Head of IT, Target date: 30/11/2026.</t>
  </si>
  <si>
    <t>Important</t>
  </si>
  <si>
    <t>This template does not reproduce ISO/IEC 27001. It summarises the requirements in plain English, and clause and Annex A numbers are references only. The certification auditor tests you against the wording of the standard, so keep a copy to hand: the official text is available from ISO (iso.org/standard/27001) or a national standards body such as BSI.</t>
  </si>
  <si>
    <t>A self-assessment has one common weakness: teams tend to score a control as met when a policy exists, while an auditor asks for proof that it operates. Completing this template does not on its own make an organisation conform to ISO 27001 or guarantee certification, which only an independent certification body can grant.</t>
  </si>
  <si>
    <t>Free to use and adapt within your organisation.</t>
  </si>
  <si>
    <t>Get help</t>
  </si>
  <si>
    <t>Enquiry form</t>
  </si>
  <si>
    <t>Use the enquiry form on our ISO 27001 gap analysis page, which is already set to ISO 27001</t>
  </si>
  <si>
    <t>Phone</t>
  </si>
  <si>
    <t>+44 161 523 5276</t>
  </si>
  <si>
    <t>Email</t>
  </si>
  <si>
    <t>contactus@sovereignsecure.co.uk</t>
  </si>
  <si>
    <t>Website</t>
  </si>
  <si>
    <t>sovereignsecure.co.uk</t>
  </si>
  <si>
    <t>About Sovereign Secure</t>
  </si>
  <si>
    <t>Sovereign Secure Ltd is an ISO 27001-certified UK consultancy, a PCI SSC-approved QSA company and an IASME-licensed Cyber Essentials certification body. We can validate your self-assessment with an ISO 27001 gap analysis, run your internal audit or support the whole project. Certification audits are carried out by an independent certification body, our partner MQA International. Companies House 08334453. 16 Whalley Road, Accrington, Lancashire, BB5 1AA.</t>
  </si>
  <si>
    <t>ISO 27001 gap analysis: summary</t>
  </si>
  <si>
    <t>Sovereign Secure Ltd  |  sovereignsecure.co.uk  |  +44 161 523 5276  |  Version: October 2026  |  Readiness = total score / (3 x lines scored)</t>
  </si>
  <si>
    <t>Overall readiness</t>
  </si>
  <si>
    <t>Applicable Annex A controls</t>
  </si>
  <si>
    <t>Lines still to score</t>
  </si>
  <si>
    <t>Clause by clause</t>
  </si>
  <si>
    <t>Clause</t>
  </si>
  <si>
    <t>Lines</t>
  </si>
  <si>
    <t>Scored</t>
  </si>
  <si>
    <t>Score 1 or 2</t>
  </si>
  <si>
    <t>Readiness</t>
  </si>
  <si>
    <t>4 Context of the organisation</t>
  </si>
  <si>
    <t>5 Leadership</t>
  </si>
  <si>
    <t>6 Planning</t>
  </si>
  <si>
    <t>7 Support</t>
  </si>
  <si>
    <t>8 Operation</t>
  </si>
  <si>
    <t>9 Performance evaluation</t>
  </si>
  <si>
    <t>10 Improvement</t>
  </si>
  <si>
    <t>All clauses</t>
  </si>
  <si>
    <t>Annex A by theme</t>
  </si>
  <si>
    <t>Theme</t>
  </si>
  <si>
    <t>Controls</t>
  </si>
  <si>
    <t>Applicable</t>
  </si>
  <si>
    <t>Undecided</t>
  </si>
  <si>
    <t>Organisational controls</t>
  </si>
  <si>
    <t>People controls</t>
  </si>
  <si>
    <t>Physical controls</t>
  </si>
  <si>
    <t>Technological controls</t>
  </si>
  <si>
    <t>All Annex A controls</t>
  </si>
  <si>
    <t>Open gaps by priority (lines scored below 3)</t>
  </si>
  <si>
    <t>Priority</t>
  </si>
  <si>
    <t>Clauses</t>
  </si>
  <si>
    <t>Annex A</t>
  </si>
  <si>
    <t>Total</t>
  </si>
  <si>
    <t>Done</t>
  </si>
  <si>
    <t/>
  </si>
  <si>
    <t>High</t>
  </si>
  <si>
    <t>Medium</t>
  </si>
  <si>
    <t>Low</t>
  </si>
  <si>
    <t>Lines below 3 with no priority yet</t>
  </si>
  <si>
    <t>Do not type in this sheet: every figure is a formula. Readiness is the total score divided by the maximum possible (3 for each line you have scored), so it rises as you close gaps and re-score.</t>
  </si>
  <si>
    <t>ISO 27001 gap analysis: clauses 4 to 10</t>
  </si>
  <si>
    <t>Sovereign Secure Ltd  |  sovereignsecure.co.uk  |  +44 161 523 5276  |  Version: October 2026  |  ISO/IEC 27001:2022 including Amendment 1 (2024)</t>
  </si>
  <si>
    <r>
      <rPr>
        <b/>
        <color rgb="FF102838"/>
        <sz val="10"/>
        <rFont val="Calibri"/>
      </rPr>
      <t xml:space="preserve">Every clause is mandatory and none can be excluded. </t>
    </r>
    <r>
      <rPr>
        <color rgb="FF1F2933"/>
        <sz val="10"/>
        <rFont val="Calibri"/>
      </rPr>
      <t xml:space="preserve">Score each line 0 to 3 from the evidence you could show today: 0 nothing in place, 1 documented or planned, 2 operating but records incomplete, 3 operating with records. Fill in the </t>
    </r>
    <r>
      <rPr>
        <b/>
        <color rgb="FFE02840"/>
        <sz val="10"/>
        <rFont val="Calibri"/>
      </rPr>
      <t>red columns</t>
    </r>
    <r>
      <rPr>
        <color rgb="FF1F2933"/>
        <sz val="10"/>
        <rFont val="Calibri"/>
      </rPr>
      <t>; grey columns calculate automatically.</t>
    </r>
  </si>
  <si>
    <t>Ref</t>
  </si>
  <si>
    <t>Requirement</t>
  </si>
  <si>
    <t>What the clause requires, in plain English</t>
  </si>
  <si>
    <t>Evidence an auditor usually samples</t>
  </si>
  <si>
    <t>Score (0 to 3)</t>
  </si>
  <si>
    <t>Rating</t>
  </si>
  <si>
    <t>Current state and evidence you have</t>
  </si>
  <si>
    <t>Gap (what is missing)</t>
  </si>
  <si>
    <t>Owner</t>
  </si>
  <si>
    <t>Target date</t>
  </si>
  <si>
    <t>Status</t>
  </si>
  <si>
    <t>4.1</t>
  </si>
  <si>
    <t>Internal and external issues</t>
  </si>
  <si>
    <t>Identify the internal and external issues that affect what your ISMS can achieve. Since Amendment 1 (2024), you must also decide whether climate change is a relevant issue.</t>
  </si>
  <si>
    <t>Context or issues register</t>
  </si>
  <si>
    <t>4.2</t>
  </si>
  <si>
    <t>Interested parties</t>
  </si>
  <si>
    <t>List the interested parties (customers, regulators, staff, suppliers), their relevant requirements and, new in 2022, which of those requirements the ISMS will address.</t>
  </si>
  <si>
    <t>Interested parties register</t>
  </si>
  <si>
    <t>4.3</t>
  </si>
  <si>
    <t>ISMS scope</t>
  </si>
  <si>
    <t>Set the ISMS scope, taking account of 4.1, 4.2 and the interfaces and dependencies with activities others perform. The scope must be documented.</t>
  </si>
  <si>
    <t>ISMS scope statement</t>
  </si>
  <si>
    <t>4.4</t>
  </si>
  <si>
    <t>The ISMS and its processes</t>
  </si>
  <si>
    <t>Establish, implement, maintain and continually improve the ISMS, including the processes it needs and how they interact.</t>
  </si>
  <si>
    <t>Process map or ISMS manual</t>
  </si>
  <si>
    <t>5.1</t>
  </si>
  <si>
    <t>Leadership and commitment</t>
  </si>
  <si>
    <t>Top management must lead: set a policy and objectives compatible with the organisation's strategy, build the ISMS into business processes, provide resources and promote continual improvement.</t>
  </si>
  <si>
    <t>Board minutes, approved budget, named sponsor</t>
  </si>
  <si>
    <t>5.2</t>
  </si>
  <si>
    <t>Information security policy</t>
  </si>
  <si>
    <t>Top management establishes an information security policy that includes objectives (or a framework for setting them) and commitments to meet applicable requirements and to improve continually. It must be documented, communicated and available to interested parties as appropriate.</t>
  </si>
  <si>
    <t>Signed policy, communication record</t>
  </si>
  <si>
    <t>5.3</t>
  </si>
  <si>
    <t>Roles, responsibilities and authorities</t>
  </si>
  <si>
    <t>Assign and communicate security roles, including who makes sure the ISMS conforms to the standard and who reports its performance to top management.</t>
  </si>
  <si>
    <t>Role descriptions or RACI</t>
  </si>
  <si>
    <t>6.1.1</t>
  </si>
  <si>
    <t>Risks and opportunities</t>
  </si>
  <si>
    <t>Plan actions for the risks and opportunities that affect the ISMS itself.</t>
  </si>
  <si>
    <t>Actions in the ISMS plan</t>
  </si>
  <si>
    <t>6.1.2</t>
  </si>
  <si>
    <t>Information security risk assessment</t>
  </si>
  <si>
    <t>Define and apply an information security risk assessment process with risk acceptance criteria, results that are consistent, valid and comparable, and a named owner for each risk.</t>
  </si>
  <si>
    <t>Risk methodology, risk register</t>
  </si>
  <si>
    <t>6.1.3</t>
  </si>
  <si>
    <t>Information security risk treatment</t>
  </si>
  <si>
    <t>Choose treatment options, determine the controls needed, compare them with Annex A so nothing necessary is missed, produce the SoA, write a risk treatment plan and get risk owners to approve it and accept the residual risk.</t>
  </si>
  <si>
    <t>SoA, risk treatment plan</t>
  </si>
  <si>
    <t>6.2</t>
  </si>
  <si>
    <t>Information security objectives</t>
  </si>
  <si>
    <t>Set information security objectives that are measurable where practicable, monitored and documented, with a plan saying what will be done, by whom, by when and how results will be evaluated.</t>
  </si>
  <si>
    <t>Objectives register</t>
  </si>
  <si>
    <t>6.3</t>
  </si>
  <si>
    <t>Planning of changes</t>
  </si>
  <si>
    <t>Make changes to the ISMS in a planned way (new in 2022).</t>
  </si>
  <si>
    <t>Change records</t>
  </si>
  <si>
    <t>7.1</t>
  </si>
  <si>
    <t>Resources</t>
  </si>
  <si>
    <t>Determine and provide the resources needed to establish, implement, maintain and continually improve the ISMS.</t>
  </si>
  <si>
    <t>Budget, role allocation</t>
  </si>
  <si>
    <t>7.2</t>
  </si>
  <si>
    <t>Competence</t>
  </si>
  <si>
    <t>Define the competence needed by people whose work affects information security, make sure they have it through education, training or experience, and keep evidence.</t>
  </si>
  <si>
    <t>Training records, qualifications</t>
  </si>
  <si>
    <t>7.3</t>
  </si>
  <si>
    <t>Awareness</t>
  </si>
  <si>
    <t>Make sure everyone working under your control knows the policy, their part in the ISMS and what happens if they do not follow it.</t>
  </si>
  <si>
    <t>Awareness training completion</t>
  </si>
  <si>
    <t>7.4</t>
  </si>
  <si>
    <t>Communication</t>
  </si>
  <si>
    <t>Decide what to communicate about the ISMS, when, with whom and how.</t>
  </si>
  <si>
    <t>Communication plan</t>
  </si>
  <si>
    <t>7.5</t>
  </si>
  <si>
    <t>Documented information</t>
  </si>
  <si>
    <t>Control documented information: identify, review and approve it, then manage access, storage, versions, retention and disposal, including documents of external origin.</t>
  </si>
  <si>
    <t>Document register, version history</t>
  </si>
  <si>
    <t>8.1</t>
  </si>
  <si>
    <t>Operational planning and control</t>
  </si>
  <si>
    <t>Plan and control the processes that meet the requirements, set criteria for them, control planned changes and control externally provided processes, products or services that are relevant to the ISMS, such as cloud platforms and outsourced IT.</t>
  </si>
  <si>
    <t>Procedures, supplier controls, change records</t>
  </si>
  <si>
    <t>8.2</t>
  </si>
  <si>
    <t>Risk assessment in operation</t>
  </si>
  <si>
    <t>Carry out risk assessments at planned intervals and when significant changes are proposed or occur, and keep the results.</t>
  </si>
  <si>
    <t>Dated assessment results</t>
  </si>
  <si>
    <t>8.3</t>
  </si>
  <si>
    <t>Risk treatment in operation</t>
  </si>
  <si>
    <t>Implement the risk treatment plan and keep the results.</t>
  </si>
  <si>
    <t>Closed actions, updated register</t>
  </si>
  <si>
    <t>9.1</t>
  </si>
  <si>
    <t>Monitoring, measurement, analysis and evaluation</t>
  </si>
  <si>
    <t>Decide what to monitor and measure, how, when and by whom, then evaluate security performance and the effectiveness of the ISMS.</t>
  </si>
  <si>
    <t>Metrics and analysis records</t>
  </si>
  <si>
    <t>9.2</t>
  </si>
  <si>
    <t>Internal audit</t>
  </si>
  <si>
    <t>Run internal audits at planned intervals under an audit programme, using auditors who are objective and impartial.</t>
  </si>
  <si>
    <t>Audit programme and reports</t>
  </si>
  <si>
    <t>9.3</t>
  </si>
  <si>
    <t>Management review</t>
  </si>
  <si>
    <t>Hold management reviews at planned intervals, covering the inputs the standard lists, including changes in interested parties' needs (new in 2022), audit results, risk assessment results and the status of the treatment plan.</t>
  </si>
  <si>
    <t>Review minutes</t>
  </si>
  <si>
    <t>10.1</t>
  </si>
  <si>
    <t>Continual improvement</t>
  </si>
  <si>
    <t>Continually improve the suitability, adequacy and effectiveness of the ISMS.</t>
  </si>
  <si>
    <t>Improvement log</t>
  </si>
  <si>
    <t>10.2</t>
  </si>
  <si>
    <t>Nonconformity and corrective action</t>
  </si>
  <si>
    <t>When a nonconformity occurs, correct it, find the root cause, check whether similar ones exist, take corrective action and confirm it worked.</t>
  </si>
  <si>
    <t>Corrective action log</t>
  </si>
  <si>
    <t>ISO 27001 gap analysis: Annex A controls</t>
  </si>
  <si>
    <t>Sovereign Secure Ltd  |  sovereignsecure.co.uk  |  +44 161 523 5276  |  Version: October 2026  |  93 controls in four themes; (new) marks the 11 added in 2022</t>
  </si>
  <si>
    <r>
      <rPr>
        <b/>
        <color rgb="FF102838"/>
        <sz val="10"/>
        <rFont val="Calibri"/>
      </rPr>
      <t xml:space="preserve">You do not have to implement every control. </t>
    </r>
    <r>
      <rPr>
        <color rgb="FF1F2933"/>
        <sz val="10"/>
        <rFont val="Calibri"/>
      </rPr>
      <t xml:space="preserve">Set Applicable to Yes if the control treats a risk you identified, or a law or contract demands it; otherwise No, with the reason (it goes in your Statement of Applicability). Score only the applicable controls. Fill in the </t>
    </r>
    <r>
      <rPr>
        <b/>
        <color rgb="FFE02840"/>
        <sz val="10"/>
        <rFont val="Calibri"/>
      </rPr>
      <t>red columns</t>
    </r>
    <r>
      <rPr>
        <color rgb="FF1F2933"/>
        <sz val="10"/>
        <rFont val="Calibri"/>
      </rPr>
      <t>.</t>
    </r>
  </si>
  <si>
    <t>Control</t>
  </si>
  <si>
    <t>In practice</t>
  </si>
  <si>
    <t>Applicable? (Yes or No)</t>
  </si>
  <si>
    <t>Gap, or reason for exclusion</t>
  </si>
  <si>
    <t>Policies for information security</t>
  </si>
  <si>
    <t>Organisational</t>
  </si>
  <si>
    <t>Approved policies, communicated and reviewed</t>
  </si>
  <si>
    <t>Information security roles and responsibilities</t>
  </si>
  <si>
    <t>Named owners for security tasks</t>
  </si>
  <si>
    <t>Segregation of duties</t>
  </si>
  <si>
    <t>No one person controls a sensitive process end to end</t>
  </si>
  <si>
    <t>5.4</t>
  </si>
  <si>
    <t>Management responsibilities</t>
  </si>
  <si>
    <t>Managers make sure staff follow policy</t>
  </si>
  <si>
    <t>5.5</t>
  </si>
  <si>
    <t>Contact with authorities</t>
  </si>
  <si>
    <t>Know which regulators and agencies to contact</t>
  </si>
  <si>
    <t>5.6</t>
  </si>
  <si>
    <t>Contact with special interest groups</t>
  </si>
  <si>
    <t>Stay in touch with security forums</t>
  </si>
  <si>
    <t>5.7</t>
  </si>
  <si>
    <t>Threat intelligence (new)</t>
  </si>
  <si>
    <t>Gather and act on threat information</t>
  </si>
  <si>
    <t>5.8</t>
  </si>
  <si>
    <t>Information security in project management</t>
  </si>
  <si>
    <t>Build security into projects</t>
  </si>
  <si>
    <t>5.9</t>
  </si>
  <si>
    <t>Inventory of information and other associated assets</t>
  </si>
  <si>
    <t>An owned, current asset inventory</t>
  </si>
  <si>
    <t>5.10</t>
  </si>
  <si>
    <t>Acceptable use of information and other associated assets</t>
  </si>
  <si>
    <t>Rules for using assets</t>
  </si>
  <si>
    <t>5.11</t>
  </si>
  <si>
    <t>Return of assets</t>
  </si>
  <si>
    <t>Recover equipment and data from leavers</t>
  </si>
  <si>
    <t>5.12</t>
  </si>
  <si>
    <t>Classification of information</t>
  </si>
  <si>
    <t>Classify information by sensitivity</t>
  </si>
  <si>
    <t>5.13</t>
  </si>
  <si>
    <t>Labelling of information</t>
  </si>
  <si>
    <t>Label information to match its class</t>
  </si>
  <si>
    <t>5.14</t>
  </si>
  <si>
    <t>Information transfer</t>
  </si>
  <si>
    <t>Protect information in transit, by any route</t>
  </si>
  <si>
    <t>5.15</t>
  </si>
  <si>
    <t>Access control</t>
  </si>
  <si>
    <t>Access rules based on business need</t>
  </si>
  <si>
    <t>5.16</t>
  </si>
  <si>
    <t>Identity management</t>
  </si>
  <si>
    <t>Manage each identity through its life cycle</t>
  </si>
  <si>
    <t>5.17</t>
  </si>
  <si>
    <t>Authentication information</t>
  </si>
  <si>
    <t>Issue and protect passwords and secrets</t>
  </si>
  <si>
    <t>5.18</t>
  </si>
  <si>
    <t>Access rights</t>
  </si>
  <si>
    <t>Grant, review and remove access</t>
  </si>
  <si>
    <t>5.19</t>
  </si>
  <si>
    <t>Information security in supplier relationships</t>
  </si>
  <si>
    <t>Manage supplier risk</t>
  </si>
  <si>
    <t>5.20</t>
  </si>
  <si>
    <t>Addressing information security within supplier agreements</t>
  </si>
  <si>
    <t>Security terms in supplier contracts</t>
  </si>
  <si>
    <t>5.21</t>
  </si>
  <si>
    <t>Managing information security in the ICT supply chain</t>
  </si>
  <si>
    <t>Manage hardware, software and service supply risk</t>
  </si>
  <si>
    <t>5.22</t>
  </si>
  <si>
    <t>Monitoring, review and change management of supplier services</t>
  </si>
  <si>
    <t>Monitor suppliers and their changes</t>
  </si>
  <si>
    <t>5.23</t>
  </si>
  <si>
    <t>Information security for use of cloud services (new)</t>
  </si>
  <si>
    <t>Adopt, run and exit cloud services securely</t>
  </si>
  <si>
    <t>5.24</t>
  </si>
  <si>
    <t>Information security incident management planning and preparation</t>
  </si>
  <si>
    <t>Incident roles and procedures ready</t>
  </si>
  <si>
    <t>5.25</t>
  </si>
  <si>
    <t>Assessment and decision on information security events</t>
  </si>
  <si>
    <t>Decide which events are incidents</t>
  </si>
  <si>
    <t>5.26</t>
  </si>
  <si>
    <t>Response to information security incidents</t>
  </si>
  <si>
    <t>Respond as your procedure says</t>
  </si>
  <si>
    <t>5.27</t>
  </si>
  <si>
    <t>Learning from information security incidents</t>
  </si>
  <si>
    <t>Use lessons to improve controls</t>
  </si>
  <si>
    <t>5.28</t>
  </si>
  <si>
    <t>Collection of evidence</t>
  </si>
  <si>
    <t>Preserve evidence properly</t>
  </si>
  <si>
    <t>5.29</t>
  </si>
  <si>
    <t>Information security during disruption</t>
  </si>
  <si>
    <t>Keep security working during disruption</t>
  </si>
  <si>
    <t>5.30</t>
  </si>
  <si>
    <t>ICT readiness for business continuity (new)</t>
  </si>
  <si>
    <t>Plan and test ICT recovery</t>
  </si>
  <si>
    <t>5.31</t>
  </si>
  <si>
    <t>Legal, statutory, regulatory and contractual requirements</t>
  </si>
  <si>
    <t>Identify and meet obligations</t>
  </si>
  <si>
    <t>5.32</t>
  </si>
  <si>
    <t>Intellectual property rights</t>
  </si>
  <si>
    <t>Respect IP and software licences</t>
  </si>
  <si>
    <t>5.33</t>
  </si>
  <si>
    <t>Protection of records</t>
  </si>
  <si>
    <t>Protect records from loss and tampering</t>
  </si>
  <si>
    <t>5.34</t>
  </si>
  <si>
    <t>Privacy and protection of PII</t>
  </si>
  <si>
    <t>Meet data protection law, such as UK GDPR</t>
  </si>
  <si>
    <t>5.35</t>
  </si>
  <si>
    <t>Independent review of information security</t>
  </si>
  <si>
    <t>Independent review at planned intervals</t>
  </si>
  <si>
    <t>5.36</t>
  </si>
  <si>
    <t>Compliance with policies, rules and standards for information security</t>
  </si>
  <si>
    <t>Check you follow your own rules</t>
  </si>
  <si>
    <t>5.37</t>
  </si>
  <si>
    <t>Documented operating procedures</t>
  </si>
  <si>
    <t>Written procedures for key IT operations</t>
  </si>
  <si>
    <t>6.1</t>
  </si>
  <si>
    <t>Screening</t>
  </si>
  <si>
    <t>People</t>
  </si>
  <si>
    <t>Background checks proportionate to the role</t>
  </si>
  <si>
    <t>Terms and conditions of employment</t>
  </si>
  <si>
    <t>Security duties in contracts</t>
  </si>
  <si>
    <t>Information security awareness, education and training</t>
  </si>
  <si>
    <t>Regular training, with records</t>
  </si>
  <si>
    <t>6.4</t>
  </si>
  <si>
    <t>Disciplinary process</t>
  </si>
  <si>
    <t>A formal process for policy breaches</t>
  </si>
  <si>
    <t>6.5</t>
  </si>
  <si>
    <t>Responsibilities after termination or change of employment</t>
  </si>
  <si>
    <t>Duties that continue after leaving</t>
  </si>
  <si>
    <t>6.6</t>
  </si>
  <si>
    <t>Confidentiality or non-disclosure agreements</t>
  </si>
  <si>
    <t>NDAs that match what needs protecting</t>
  </si>
  <si>
    <t>6.7</t>
  </si>
  <si>
    <t>Remote working</t>
  </si>
  <si>
    <t>Security rules for working away from the office</t>
  </si>
  <si>
    <t>6.8</t>
  </si>
  <si>
    <t>Information security event reporting</t>
  </si>
  <si>
    <t>An easy way for staff to report events</t>
  </si>
  <si>
    <t>Physical security perimeters</t>
  </si>
  <si>
    <t>Physical</t>
  </si>
  <si>
    <t>Defined perimeters around sensitive areas</t>
  </si>
  <si>
    <t>Physical entry</t>
  </si>
  <si>
    <t>Entry controls for secure areas</t>
  </si>
  <si>
    <t>Securing offices, rooms and facilities</t>
  </si>
  <si>
    <t>Security designed into premises</t>
  </si>
  <si>
    <t>Physical security monitoring (new)</t>
  </si>
  <si>
    <t>Monitor premises, for example with alarms or CCTV</t>
  </si>
  <si>
    <t>Protecting against physical and environmental threats</t>
  </si>
  <si>
    <t>Protection from fire, flood and similar threats</t>
  </si>
  <si>
    <t>7.6</t>
  </si>
  <si>
    <t>Working in secure areas</t>
  </si>
  <si>
    <t>Rules inside secure areas</t>
  </si>
  <si>
    <t>7.7</t>
  </si>
  <si>
    <t>Clear desk and clear screen</t>
  </si>
  <si>
    <t>Lock screens, put papers away</t>
  </si>
  <si>
    <t>7.8</t>
  </si>
  <si>
    <t>Equipment siting and protection</t>
  </si>
  <si>
    <t>Place and protect equipment safely</t>
  </si>
  <si>
    <t>7.9</t>
  </si>
  <si>
    <t>Security of assets off-premises</t>
  </si>
  <si>
    <t>Protect laptops and devices away from the office</t>
  </si>
  <si>
    <t>7.10</t>
  </si>
  <si>
    <t>Storage media</t>
  </si>
  <si>
    <t>Control media from purchase to disposal</t>
  </si>
  <si>
    <t>7.11</t>
  </si>
  <si>
    <t>Supporting utilities</t>
  </si>
  <si>
    <t>Protect power and cooling</t>
  </si>
  <si>
    <t>7.12</t>
  </si>
  <si>
    <t>Cabling security</t>
  </si>
  <si>
    <t>Protect power and data cables</t>
  </si>
  <si>
    <t>7.13</t>
  </si>
  <si>
    <t>Equipment maintenance</t>
  </si>
  <si>
    <t>Maintain equipment correctly</t>
  </si>
  <si>
    <t>7.14</t>
  </si>
  <si>
    <t>Secure disposal or re-use of equipment</t>
  </si>
  <si>
    <t>Wipe or destroy data first</t>
  </si>
  <si>
    <t>User endpoint devices</t>
  </si>
  <si>
    <t>Technological</t>
  </si>
  <si>
    <t>Protect laptops, phones and other endpoints</t>
  </si>
  <si>
    <t>Privileged access rights</t>
  </si>
  <si>
    <t>Restrict and track admin access</t>
  </si>
  <si>
    <t>Information access restriction</t>
  </si>
  <si>
    <t>Enforce the access policy on information</t>
  </si>
  <si>
    <t>8.4</t>
  </si>
  <si>
    <t>Access to source code</t>
  </si>
  <si>
    <t>Control who reads and changes code</t>
  </si>
  <si>
    <t>8.5</t>
  </si>
  <si>
    <t>Secure authentication</t>
  </si>
  <si>
    <t>Strong sign-in, such as MFA where risk needs it</t>
  </si>
  <si>
    <t>8.6</t>
  </si>
  <si>
    <t>Capacity management</t>
  </si>
  <si>
    <t>Monitor and plan capacity</t>
  </si>
  <si>
    <t>8.7</t>
  </si>
  <si>
    <t>Protection against malware</t>
  </si>
  <si>
    <t>Anti-malware plus user awareness</t>
  </si>
  <si>
    <t>8.8</t>
  </si>
  <si>
    <t>Management of technical vulnerabilities</t>
  </si>
  <si>
    <t>Find, assess and fix vulnerabilities</t>
  </si>
  <si>
    <t>8.9</t>
  </si>
  <si>
    <t>Configuration management (new)</t>
  </si>
  <si>
    <t>Set and monitor secure configurations</t>
  </si>
  <si>
    <t>8.10</t>
  </si>
  <si>
    <t>Information deletion (new)</t>
  </si>
  <si>
    <t>Delete information when no longer needed</t>
  </si>
  <si>
    <t>8.11</t>
  </si>
  <si>
    <t>Data masking (new)</t>
  </si>
  <si>
    <t>Mask sensitive data where required</t>
  </si>
  <si>
    <t>8.12</t>
  </si>
  <si>
    <t>Data leakage prevention (new)</t>
  </si>
  <si>
    <t>Detect and stop unauthorised data leaving</t>
  </si>
  <si>
    <t>8.13</t>
  </si>
  <si>
    <t>Information backup</t>
  </si>
  <si>
    <t>Back up and test restores</t>
  </si>
  <si>
    <t>8.14</t>
  </si>
  <si>
    <t>Redundancy of information processing facilities</t>
  </si>
  <si>
    <t>Enough redundancy for availability needs</t>
  </si>
  <si>
    <t>8.15</t>
  </si>
  <si>
    <t>Logging</t>
  </si>
  <si>
    <t>Record, protect and review logs</t>
  </si>
  <si>
    <t>8.16</t>
  </si>
  <si>
    <t>Monitoring activities (new)</t>
  </si>
  <si>
    <t>Watch systems for abnormal behaviour</t>
  </si>
  <si>
    <t>8.17</t>
  </si>
  <si>
    <t>Clock synchronisation</t>
  </si>
  <si>
    <t>Sync clocks to an agreed time source</t>
  </si>
  <si>
    <t>8.18</t>
  </si>
  <si>
    <t>Use of privileged utility programs</t>
  </si>
  <si>
    <t>Restrict tools that bypass controls</t>
  </si>
  <si>
    <t>8.19</t>
  </si>
  <si>
    <t>Installation of software on operational systems</t>
  </si>
  <si>
    <t>Control software on live systems</t>
  </si>
  <si>
    <t>8.20</t>
  </si>
  <si>
    <t>Networks security</t>
  </si>
  <si>
    <t>Secure and manage networks</t>
  </si>
  <si>
    <t>8.21</t>
  </si>
  <si>
    <t>Security of network services</t>
  </si>
  <si>
    <t>Set security for network services</t>
  </si>
  <si>
    <t>8.22</t>
  </si>
  <si>
    <t>Segregation of networks</t>
  </si>
  <si>
    <t>Separate networks by trust level</t>
  </si>
  <si>
    <t>8.23</t>
  </si>
  <si>
    <t>Web filtering (new)</t>
  </si>
  <si>
    <t>Block harmful websites</t>
  </si>
  <si>
    <t>8.24</t>
  </si>
  <si>
    <t>Use of cryptography</t>
  </si>
  <si>
    <t>Rules for encryption and keys</t>
  </si>
  <si>
    <t>8.25</t>
  </si>
  <si>
    <t>Secure development life cycle</t>
  </si>
  <si>
    <t>Security in the development process</t>
  </si>
  <si>
    <t>8.26</t>
  </si>
  <si>
    <t>Application security requirements</t>
  </si>
  <si>
    <t>Define security needs for applications</t>
  </si>
  <si>
    <t>8.27</t>
  </si>
  <si>
    <t>Secure system architecture and engineering principles</t>
  </si>
  <si>
    <t>Apply secure design principles</t>
  </si>
  <si>
    <t>8.28</t>
  </si>
  <si>
    <t>Secure coding (new)</t>
  </si>
  <si>
    <t>Secure coding practices</t>
  </si>
  <si>
    <t>8.29</t>
  </si>
  <si>
    <t>Security testing in development and acceptance</t>
  </si>
  <si>
    <t>Test security before release</t>
  </si>
  <si>
    <t>8.30</t>
  </si>
  <si>
    <t>Outsourced development</t>
  </si>
  <si>
    <t>Direct and check outsourced development</t>
  </si>
  <si>
    <t>8.31</t>
  </si>
  <si>
    <t>Separation of development, test and production environments</t>
  </si>
  <si>
    <t>Keep the three apart</t>
  </si>
  <si>
    <t>8.32</t>
  </si>
  <si>
    <t>Change management</t>
  </si>
  <si>
    <t>Control changes to systems</t>
  </si>
  <si>
    <t>8.33</t>
  </si>
  <si>
    <t>Test information</t>
  </si>
  <si>
    <t>Choose and protect test data</t>
  </si>
  <si>
    <t>8.34</t>
  </si>
  <si>
    <t>Protection of information systems during audit testing</t>
  </si>
  <si>
    <t>Plan audit tests so they do no harm</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</si>
</sst>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64" formatCode="dd/mm/yyyy"/>
  </numFmts>
  <fonts count="11" x14ac:knownFonts="1">
    <font>
      <color theme="1"/>
      <family val="2"/>
      <scheme val="minor"/>
      <sz val="11"/>
      <name val="Calibri"/>
    </font>
    <font>
      <b/>
      <color rgb="FF102838"/>
      <sz val="18"/>
      <name val="Calibri"/>
    </font>
    <font>
      <color rgb="FF5B6670"/>
      <sz val="10"/>
      <name val="Calibri"/>
    </font>
    <font>
      <b/>
      <color rgb="FF102838"/>
      <sz val="11"/>
      <name val="Calibri"/>
    </font>
    <font>
      <color rgb="FF1F2933"/>
      <sz val="10.5"/>
      <name val="Calibri"/>
    </font>
    <font>
      <b/>
      <color rgb="FF102838"/>
      <sz val="10"/>
      <name val="Calibri"/>
    </font>
    <font>
      <u/>
      <color rgb="FF102838"/>
      <sz val="10"/>
      <name val="Calibri"/>
    </font>
    <font>
      <color rgb="FF1F2933"/>
      <sz val="10"/>
      <name val="Calibri"/>
    </font>
    <font>
      <b/>
      <color rgb="FF102838"/>
      <sz val="10.5"/>
      <name val="Calibri"/>
    </font>
    <font>
      <b/>
      <color rgb="FFFFFFFF"/>
      <sz val="10"/>
      <name val="Calibri"/>
    </font>
    <font>
      <i/>
      <color rgb="FF5B6670"/>
      <sz val="9.5"/>
      <name val="Calibri"/>
    </font>
  </fonts>
  <fills count="7">
    <fill>
      <patternFill patternType="none"/>
    </fill>
    <fill>
      <patternFill patternType="gray125"/>
    </fill>
    <fill>
      <patternFill patternType="solid">
        <fgColor rgb="FFF4F3EF"/>
      </patternFill>
    </fill>
    <fill>
      <patternFill patternType="solid">
        <fgColor rgb="FF102838"/>
      </patternFill>
    </fill>
    <fill>
      <patternFill patternType="solid">
        <fgColor rgb="FFE02840"/>
      </patternFill>
    </fill>
    <fill>
      <patternFill patternType="solid">
        <fgColor rgb="FFFFFFFF"/>
      </patternFill>
    </fill>
    <fill>
      <patternFill patternType="solid">
        <fgColor rgb="FFE9E9E6"/>
      </patternFill>
    </fill>
  </fills>
  <borders count="4">
    <border>
      <left/>
      <right/>
      <top/>
      <bottom/>
      <diagonal/>
    </border>
    <border>
      <left/>
      <right/>
      <top/>
      <bottom style="thick">
        <color rgb="FFE02840"/>
      </bottom>
      <diagonal/>
    </border>
    <border>
      <left style="thick">
        <color rgb="FFE02840"/>
      </left>
      <right/>
      <top/>
      <bottom/>
      <diagonal/>
    </border>
    <border>
      <left style="thin">
        <color rgb="FFD9D6CC"/>
      </left>
      <right style="thin">
        <color rgb="FFD9D6CC"/>
      </right>
      <top style="thin">
        <color rgb="FFD9D6CC"/>
      </top>
      <bottom style="thin">
        <color rgb="FFD9D6CC"/>
      </bottom>
      <diagonal/>
    </border>
  </borders>
  <cellStyleXfs count="1">
    <xf numFmtId="0" fontId="0" fillId="0" borderId="0"/>
  </cellStyleXfs>
  <cellXfs count="29">
    <xf numFmtId="0" fontId="0" fillId="0" borderId="0" xfId="0"/>
    <xf numFmtId="0" fontId="1" fillId="0" borderId="1" xfId="0" applyFont="1" applyBorder="1" applyAlignment="1">
      <alignment vertical="center"/>
    </xf>
    <xf numFmtId="0" fontId="2" fillId="0" borderId="0" xfId="0" applyFont="1" applyAlignment="1">
      <alignment vertical="center"/>
    </xf>
    <xf numFmtId="0" fontId="3" fillId="2" borderId="2" xfId="0" applyFont="1" applyFill="1" applyBorder="1" applyAlignment="1">
      <alignment vertical="center"/>
    </xf>
    <xf numFmtId="0" fontId="4" fillId="0" borderId="0" xfId="0" applyFont="1" applyAlignment="1">
      <alignment vertical="top" wrapText="1"/>
    </xf>
    <xf numFmtId="0" fontId="5" fillId="0" borderId="3" xfId="0" applyFont="1" applyBorder="1" applyAlignment="1">
      <alignment vertical="top" wrapText="1"/>
    </xf>
    <xf numFmtId="0" fontId="6" fillId="0" borderId="3" xfId="0" applyFont="1" applyBorder="1" applyAlignment="1">
      <alignment vertical="top" wrapText="1"/>
    </xf>
    <xf numFmtId="0" fontId="7" fillId="0" borderId="3" xfId="0" applyFont="1" applyBorder="1" applyAlignment="1">
      <alignment vertical="top" wrapText="1"/>
    </xf>
    <xf numFmtId="0" fontId="7" fillId="2" borderId="3" xfId="0" applyFont="1" applyFill="1" applyBorder="1" applyAlignment="1">
      <alignment vertical="top" wrapText="1"/>
    </xf>
    <xf numFmtId="0" fontId="8" fillId="0" borderId="0" xfId="0" applyFont="1" applyAlignment="1">
      <alignment vertical="top" wrapText="1"/>
    </xf>
    <xf numFmtId="0" fontId="2" fillId="0" borderId="0" xfId="0" applyFont="1" applyAlignment="1">
      <alignment vertical="center" wrapText="1"/>
    </xf>
    <xf numFmtId="9" fontId="5" fillId="0" borderId="3" xfId="0" applyNumberFormat="1" applyFont="1" applyBorder="1" applyAlignment="1">
      <alignment horizontal="center" vertical="top" wrapText="1"/>
    </xf>
    <xf numFmtId="0" fontId="5" fillId="2" borderId="3" xfId="0" applyFont="1" applyFill="1" applyBorder="1" applyAlignment="1">
      <alignment vertical="top" wrapText="1"/>
    </xf>
    <xf numFmtId="0" fontId="7" fillId="2" borderId="3" xfId="0" applyFont="1" applyFill="1" applyBorder="1" applyAlignment="1">
      <alignment horizontal="center" vertical="top" wrapText="1"/>
    </xf>
    <xf numFmtId="0" fontId="9" fillId="3" borderId="3" xfId="0" applyFont="1" applyFill="1" applyBorder="1" applyAlignment="1">
      <alignment horizontal="left" vertical="center" wrapText="1"/>
    </xf>
    <xf numFmtId="0" fontId="7" fillId="0" borderId="3" xfId="0" applyFont="1" applyBorder="1" applyAlignment="1">
      <alignment horizontal="center" vertical="top" wrapText="1"/>
    </xf>
    <xf numFmtId="9" fontId="7" fillId="0" borderId="3" xfId="0" applyNumberFormat="1" applyFont="1" applyBorder="1" applyAlignment="1">
      <alignment horizontal="center" vertical="top" wrapText="1"/>
    </xf>
    <xf numFmtId="0" fontId="5" fillId="2" borderId="3" xfId="0" applyFont="1" applyFill="1" applyBorder="1" applyAlignment="1">
      <alignment horizontal="center" vertical="top" wrapText="1"/>
    </xf>
    <xf numFmtId="9" fontId="5" fillId="2" borderId="3" xfId="0" applyNumberFormat="1" applyFont="1" applyFill="1" applyBorder="1" applyAlignment="1">
      <alignment horizontal="center" vertical="top" wrapText="1"/>
    </xf>
    <xf numFmtId="0" fontId="10" fillId="0" borderId="0" xfId="0" applyFont="1" applyAlignment="1">
      <alignment vertical="top" wrapText="1"/>
    </xf>
    <xf numFmtId="0" fontId="0" fillId="0" borderId="0" xfId="0" applyAlignment="1">
      <alignment vertical="center" wrapText="1"/>
    </xf>
    <xf numFmtId="0" fontId="9" fillId="4" borderId="3" xfId="0" applyFont="1" applyFill="1" applyBorder="1" applyAlignment="1">
      <alignment horizontal="left" vertical="center" wrapText="1"/>
    </xf>
    <xf numFmtId="49" fontId="5" fillId="5" borderId="3" xfId="0" applyNumberFormat="1" applyFont="1" applyFill="1" applyBorder="1" applyAlignment="1">
      <alignment vertical="top" wrapText="1"/>
    </xf>
    <xf numFmtId="0" fontId="7" fillId="5" borderId="3" xfId="0" applyFont="1" applyFill="1" applyBorder="1" applyAlignment="1">
      <alignment vertical="top" wrapText="1"/>
    </xf>
    <xf numFmtId="0" fontId="7" fillId="5" borderId="3" xfId="0" applyFont="1" applyFill="1" applyBorder="1" applyAlignment="1">
      <alignment horizontal="center" vertical="top" wrapText="1"/>
    </xf>
    <xf numFmtId="0" fontId="5" fillId="6" borderId="3" xfId="0" applyFont="1" applyFill="1" applyBorder="1" applyAlignment="1">
      <alignment horizontal="center" vertical="top" wrapText="1"/>
    </xf>
    <xf numFmtId="164" fontId="7" fillId="5" borderId="3" xfId="0" applyNumberFormat="1" applyFont="1" applyFill="1" applyBorder="1" applyAlignment="1">
      <alignment horizontal="left" vertical="top" wrapText="1"/>
    </xf>
    <xf numFmtId="49" fontId="5" fillId="2" borderId="3" xfId="0" applyNumberFormat="1" applyFont="1" applyFill="1" applyBorder="1" applyAlignment="1">
      <alignment vertical="top" wrapText="1"/>
    </xf>
    <xf numFmtId="164" fontId="7" fillId="2" borderId="3" xfId="0" applyNumberFormat="1" applyFont="1" applyFill="1" applyBorder="1" applyAlignment="1">
      <alignment horizontal="left" vertical="top" wrapText="1"/>
    </xf>
  </cellXfs>
  <cellStyles count="1">
    <cellStyle name="Normal" xfId="0" builtinId="0"/>
  </cellStyles>
  <dxfs count="20">
    <dxf>
      <font>
        <color rgb="FF1E5631"/>
      </font>
      <fill>
        <patternFill patternType="solid">
          <bgColor rgb="FFDDEFD9"/>
        </patternFill>
      </fill>
    </dxf>
    <dxf>
      <font>
        <color rgb="FF7F6000"/>
      </font>
      <fill>
        <patternFill patternType="solid">
          <bgColor rgb="FFFFF2CC"/>
        </patternFill>
      </fill>
    </dxf>
    <dxf>
      <font>
        <color rgb="FFB0172F"/>
      </font>
      <fill>
        <patternFill patternType="solid">
          <bgColor rgb="FFFCE4E8"/>
        </patternFill>
      </fill>
    </dxf>
    <dxf>
      <font>
        <color rgb="FF5B6670"/>
      </font>
      <fill>
        <patternFill patternType="solid">
          <bgColor rgb="FFE9E9E6"/>
        </patternFill>
      </fill>
    </dxf>
    <dxf>
      <font>
        <color rgb="FFB0172F"/>
      </font>
      <fill>
        <patternFill patternType="solid">
          <bgColor rgb="FFFCE4E8"/>
        </patternFill>
      </fill>
    </dxf>
    <dxf>
      <font>
        <color rgb="FF7F6000"/>
      </font>
      <fill>
        <patternFill patternType="solid">
          <bgColor rgb="FFFFF2CC"/>
        </patternFill>
      </fill>
    </dxf>
    <dxf>
      <font>
        <color rgb="FF1E5631"/>
      </font>
      <fill>
        <patternFill patternType="solid">
          <bgColor rgb="FFDDEFD9"/>
        </patternFill>
      </fill>
    </dxf>
    <dxf>
      <font>
        <color rgb="FFB0172F"/>
      </font>
      <fill>
        <patternFill patternType="solid">
          <bgColor rgb="FFFCE4E8"/>
        </patternFill>
      </fill>
    </dxf>
    <dxf>
      <font>
        <color rgb="FF7F6000"/>
      </font>
      <fill>
        <patternFill patternType="solid">
          <bgColor rgb="FFFFF2CC"/>
        </patternFill>
      </fill>
    </dxf>
    <dxf>
      <font>
        <color rgb="FF1E5631"/>
      </font>
      <fill>
        <patternFill patternType="solid">
          <bgColor rgb="FFDDEFD9"/>
        </patternFill>
      </fill>
    </dxf>
    <dxf>
      <font>
        <color rgb="FF1E5631"/>
      </font>
      <fill>
        <patternFill patternType="solid">
          <bgColor rgb="FFDDEFD9"/>
        </patternFill>
      </fill>
    </dxf>
    <dxf>
      <font>
        <color rgb="FF7F6000"/>
      </font>
      <fill>
        <patternFill patternType="solid">
          <bgColor rgb="FFFFF2CC"/>
        </patternFill>
      </fill>
    </dxf>
    <dxf>
      <font>
        <color rgb="FFB0172F"/>
      </font>
      <fill>
        <patternFill patternType="solid">
          <bgColor rgb="FFFCE4E8"/>
        </patternFill>
      </fill>
    </dxf>
    <dxf>
      <font>
        <color rgb="FF5B6670"/>
      </font>
      <fill>
        <patternFill patternType="solid">
          <bgColor rgb="FFE9E9E6"/>
        </patternFill>
      </fill>
    </dxf>
    <dxf>
      <font>
        <color rgb="FFB0172F"/>
      </font>
      <fill>
        <patternFill patternType="solid">
          <bgColor rgb="FFFCE4E8"/>
        </patternFill>
      </fill>
    </dxf>
    <dxf>
      <font>
        <color rgb="FF7F6000"/>
      </font>
      <fill>
        <patternFill patternType="solid">
          <bgColor rgb="FFFFF2CC"/>
        </patternFill>
      </fill>
    </dxf>
    <dxf>
      <font>
        <color rgb="FF1E5631"/>
      </font>
      <fill>
        <patternFill patternType="solid">
          <bgColor rgb="FFDDEFD9"/>
        </patternFill>
      </fill>
    </dxf>
    <dxf>
      <font>
        <color rgb="FFB0172F"/>
      </font>
      <fill>
        <patternFill patternType="solid">
          <bgColor rgb="FFFCE4E8"/>
        </patternFill>
      </fill>
    </dxf>
    <dxf>
      <font>
        <color rgb="FF7F6000"/>
      </font>
      <fill>
        <patternFill patternType="solid">
          <bgColor rgb="FFFFF2CC"/>
        </patternFill>
      </fill>
    </dxf>
    <dxf>
      <font>
        <color rgb="FF1E5631"/>
      </font>
      <fill>
        <patternFill patternType="solid">
          <bgColor rgb="FFDDEFD9"/>
        </patternFill>
      </fill>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oneCellAnchor editAs="oneCell">
    <xdr:from>
      <xdr:col>0</xdr:col>
      <xdr:colOff>45000</xdr:colOff>
      <xdr:row>0</xdr:row>
      <xdr:rowOff>104000</xdr:rowOff>
    </xdr:from>
    <xdr:ext cx="1809750" cy="476250"/>
    <xdr:pic>
      <xdr:nvPicPr>
        <xdr:cNvPr id="1" name="Picture 1">
          <a:extLst>
            <a:ext uri="{FF2B5EF4-FFF2-40B4-BE49-F238E27FC236}">
              <a16:creationId xmlns:a16="http://schemas.microsoft.com/office/drawing/2014/main" id="{00000000-0008-0000-0000-000002000000}"/>
            </a:ext>
          </a:extLst>
        </xdr:cNvPr>
        <xdr:cNvPicPr>
          <a:picLocks noChangeAspect="1"/>
        </xdr:cNvPicPr>
      </xdr:nvPicPr>
      <xdr:blipFill>
        <a:blip xmlns:r="http://schemas.openxmlformats.org/officeDocument/2006/relationships" r:embed="rId1" cstate="print"/>
        <a:stretch>
          <a:fillRect/>
        </a:stretch>
      </xdr:blipFill>
      <xdr:spPr>
        <a:xfrm>
          <a:off x="0" y="0"/>
          <a:ext cx="0" cy="0"/>
        </a:xfrm>
        <a:prstGeom prst="rect">
          <a:avLst/>
        </a:prstGeom>
      </xdr:spPr>
    </xdr:pic>
    <xdr:clientData/>
  </xdr:one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sovereignsecure.co.uk/iso-27001-gap-analysis/" TargetMode="External"/><Relationship Id="rId2" Type="http://schemas.openxmlformats.org/officeDocument/2006/relationships/hyperlink" Target="https://sovereignsecure.co.uk/iso-27001-gap-analysis/#enquire" TargetMode="External"/><Relationship Id="rId3" Type="http://schemas.openxmlformats.org/officeDocument/2006/relationships/hyperlink" Target="mailto:contactus@sovereignsecure.co.uk" TargetMode="External"/><Relationship Id="rId4" Type="http://schemas.openxmlformats.org/officeDocument/2006/relationships/hyperlink" Target="https://sovereignsecure.co.uk" TargetMode="External"/><Relationship Id="rId5" Type="http://schemas.openxmlformats.org/officeDocument/2006/relationships/drawing" Target="../drawings/drawing1.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E02840"/>
    <pageSetUpPr fitToPage="1"/>
  </sheetPr>
  <dimension ref="A1:B40"/>
  <sheetViews>
    <sheetView workbookViewId="0" showGridLines="0"/>
  </sheetViews>
  <sheetFormatPr defaultRowHeight="15" outlineLevelRow="0" outlineLevelCol="0" x14ac:dyDescent="55"/>
  <cols>
    <col min="1" max="1" width="30" customWidth="1"/>
    <col min="2" max="2" width="100" customWidth="1"/>
  </cols>
  <sheetData>
    <row r="1" ht="52" customHeight="1" x14ac:dyDescent="0.25"/>
    <row r="2" ht="32" customHeight="1" spans="1:2" x14ac:dyDescent="0.25">
      <c r="A2" s="1" t="s">
        <v>0</v>
      </c>
      <c r="B2" s="1"/>
    </row>
    <row r="3" ht="18" customHeight="1" spans="1:2" x14ac:dyDescent="0.25">
      <c r="A3" s="2" t="s">
        <v>1</v>
      </c>
      <c r="B3" s="2"/>
    </row>
    <row r="5" ht="20" customHeight="1" spans="1:2" x14ac:dyDescent="0.25">
      <c r="A5" s="3" t="s">
        <v>2</v>
      </c>
      <c r="B5" s="3"/>
    </row>
    <row r="6" ht="45.5" customHeight="1" spans="1:2" x14ac:dyDescent="0.25">
      <c r="A6" s="4" t="s">
        <v>3</v>
      </c>
      <c r="B6" s="4"/>
    </row>
    <row r="7" ht="18.5" customHeight="1" spans="1:2" x14ac:dyDescent="0.25">
      <c r="A7" s="5" t="s">
        <v>4</v>
      </c>
      <c r="B7" s="6" t="s">
        <v>5</v>
      </c>
    </row>
    <row r="9" ht="20" customHeight="1" spans="1:2" x14ac:dyDescent="0.25">
      <c r="A9" s="3" t="s">
        <v>6</v>
      </c>
      <c r="B9" s="3"/>
    </row>
    <row r="10" ht="32" customHeight="1" spans="1:2" x14ac:dyDescent="0.25">
      <c r="A10" s="5" t="s">
        <v>7</v>
      </c>
      <c r="B10" s="7" t="s">
        <v>8</v>
      </c>
    </row>
    <row r="11" ht="32" customHeight="1" spans="1:2" x14ac:dyDescent="0.25">
      <c r="A11" s="5" t="s">
        <v>9</v>
      </c>
      <c r="B11" s="7" t="s">
        <v>10</v>
      </c>
    </row>
    <row r="12" ht="45.5" customHeight="1" spans="1:2" x14ac:dyDescent="0.25">
      <c r="A12" s="5" t="s">
        <v>11</v>
      </c>
      <c r="B12" s="7" t="s">
        <v>12</v>
      </c>
    </row>
    <row r="14" ht="20" customHeight="1" spans="1:2" x14ac:dyDescent="0.25">
      <c r="A14" s="3" t="s">
        <v>13</v>
      </c>
      <c r="B14" s="3"/>
    </row>
    <row r="15" ht="32" customHeight="1" spans="1:2" x14ac:dyDescent="0.25">
      <c r="A15" s="5" t="s">
        <v>14</v>
      </c>
      <c r="B15" s="7" t="s">
        <v>15</v>
      </c>
    </row>
    <row r="16" ht="32" customHeight="1" spans="1:2" x14ac:dyDescent="0.25">
      <c r="A16" s="5" t="s">
        <v>16</v>
      </c>
      <c r="B16" s="7" t="s">
        <v>17</v>
      </c>
    </row>
    <row r="17" ht="32" customHeight="1" spans="1:2" x14ac:dyDescent="0.25">
      <c r="A17" s="5" t="s">
        <v>18</v>
      </c>
      <c r="B17" s="7" t="s">
        <v>19</v>
      </c>
    </row>
    <row r="18" ht="32" customHeight="1" spans="1:2" x14ac:dyDescent="0.25">
      <c r="A18" s="5" t="s">
        <v>20</v>
      </c>
      <c r="B18" s="7" t="s">
        <v>21</v>
      </c>
    </row>
    <row r="19" ht="18.5" customHeight="1" spans="1:2" x14ac:dyDescent="0.25">
      <c r="A19" s="5" t="s">
        <v>22</v>
      </c>
      <c r="B19" s="7" t="s">
        <v>23</v>
      </c>
    </row>
    <row r="20" ht="32" customHeight="1" spans="1:2" x14ac:dyDescent="0.25">
      <c r="A20" s="5" t="s">
        <v>24</v>
      </c>
      <c r="B20" s="7" t="s">
        <v>25</v>
      </c>
    </row>
    <row r="22" ht="20" customHeight="1" spans="1:2" x14ac:dyDescent="0.25">
      <c r="A22" s="3" t="s">
        <v>26</v>
      </c>
      <c r="B22" s="3"/>
    </row>
    <row r="23" ht="18.5" customHeight="1" spans="1:2" x14ac:dyDescent="0.25">
      <c r="A23" s="5" t="s">
        <v>27</v>
      </c>
      <c r="B23" s="7" t="s">
        <v>28</v>
      </c>
    </row>
    <row r="24" ht="18.5" customHeight="1" spans="1:2" x14ac:dyDescent="0.25">
      <c r="A24" s="5" t="s">
        <v>29</v>
      </c>
      <c r="B24" s="7" t="s">
        <v>30</v>
      </c>
    </row>
    <row r="25" ht="18.5" customHeight="1" spans="1:2" x14ac:dyDescent="0.25">
      <c r="A25" s="5" t="s">
        <v>31</v>
      </c>
      <c r="B25" s="7" t="s">
        <v>32</v>
      </c>
    </row>
    <row r="26" ht="18.5" customHeight="1" spans="1:2" x14ac:dyDescent="0.25">
      <c r="A26" s="5" t="s">
        <v>33</v>
      </c>
      <c r="B26" s="7" t="s">
        <v>34</v>
      </c>
    </row>
    <row r="27" ht="32" customHeight="1" spans="1:2" x14ac:dyDescent="0.25">
      <c r="A27" s="5" t="s">
        <v>35</v>
      </c>
      <c r="B27" s="7" t="s">
        <v>36</v>
      </c>
    </row>
    <row r="28" ht="32" customHeight="1" spans="1:2" x14ac:dyDescent="0.25">
      <c r="A28" s="5" t="s">
        <v>37</v>
      </c>
      <c r="B28" s="8" t="s">
        <v>38</v>
      </c>
    </row>
    <row r="30" ht="20" customHeight="1" spans="1:2" x14ac:dyDescent="0.25">
      <c r="A30" s="3" t="s">
        <v>39</v>
      </c>
      <c r="B30" s="3"/>
    </row>
    <row r="31" ht="45.5" customHeight="1" spans="1:2" x14ac:dyDescent="0.25">
      <c r="A31" s="4" t="s">
        <v>40</v>
      </c>
      <c r="B31" s="4"/>
    </row>
    <row r="32" ht="45.5" customHeight="1" spans="1:2" x14ac:dyDescent="0.25">
      <c r="A32" s="4" t="s">
        <v>41</v>
      </c>
      <c r="B32" s="4"/>
    </row>
    <row r="33" ht="18.5" customHeight="1" spans="1:2" x14ac:dyDescent="0.25">
      <c r="A33" s="9" t="s">
        <v>42</v>
      </c>
      <c r="B33" s="9"/>
    </row>
    <row r="35" ht="20" customHeight="1" spans="1:2" x14ac:dyDescent="0.25">
      <c r="A35" s="3" t="s">
        <v>43</v>
      </c>
      <c r="B35" s="3"/>
    </row>
    <row r="36" ht="18.5" customHeight="1" spans="1:2" x14ac:dyDescent="0.25">
      <c r="A36" s="5" t="s">
        <v>44</v>
      </c>
      <c r="B36" s="6" t="s">
        <v>45</v>
      </c>
    </row>
    <row r="37" ht="18.5" customHeight="1" spans="1:2" x14ac:dyDescent="0.25">
      <c r="A37" s="5" t="s">
        <v>46</v>
      </c>
      <c r="B37" s="7" t="s">
        <v>47</v>
      </c>
    </row>
    <row r="38" ht="18.5" customHeight="1" spans="1:2" x14ac:dyDescent="0.25">
      <c r="A38" s="5" t="s">
        <v>48</v>
      </c>
      <c r="B38" s="6" t="s">
        <v>49</v>
      </c>
    </row>
    <row r="39" ht="18.5" customHeight="1" spans="1:2" x14ac:dyDescent="0.25">
      <c r="A39" s="5" t="s">
        <v>50</v>
      </c>
      <c r="B39" s="6" t="s">
        <v>51</v>
      </c>
    </row>
    <row r="40" ht="72.5" customHeight="1" spans="1:2" x14ac:dyDescent="0.25">
      <c r="A40" s="5" t="s">
        <v>52</v>
      </c>
      <c r="B40" s="7" t="s">
        <v>53</v>
      </c>
    </row>
  </sheetData>
  <mergeCells count="12">
    <mergeCell ref="A2:B2"/>
    <mergeCell ref="A3:B3"/>
    <mergeCell ref="A5:B5"/>
    <mergeCell ref="A6:B6"/>
    <mergeCell ref="A9:B9"/>
    <mergeCell ref="A14:B14"/>
    <mergeCell ref="A22:B22"/>
    <mergeCell ref="A30:B30"/>
    <mergeCell ref="A31:B31"/>
    <mergeCell ref="A32:B32"/>
    <mergeCell ref="A33:B33"/>
    <mergeCell ref="A35:B35"/>
  </mergeCells>
  <hyperlinks>
    <hyperlink ref="B7" r:id="rId1"/>
    <hyperlink ref="B36" r:id="rId2"/>
    <hyperlink ref="B38" r:id="rId3"/>
    <hyperlink ref="B39" r:id="rId4"/>
  </hyperlinks>
  <printOptions horizontalCentered="1"/>
  <pageMargins left="0.4" right="0.4" top="0.6" bottom="0.6" header="0.3" footer="0.3"/>
  <pageSetup paperSize="9" orientation="landscape" fitToWidth="1" fitToHeight="0"/>
  <headerFooter>
    <oddHeader>&amp;L&amp;8ISO 27001 gap analysis template, version October 2026&amp;R&amp;8&amp;A</oddHeader>
    <oddFooter>&amp;L&amp;8Sovereign Secure Ltd  |  sovereignsecure.co.uk  |  +44 161 523 5276&amp;R&amp;8Page &amp;P of &amp;N</oddFooter>
  </headerFooter>
  <ignoredErrors>
    <ignoredError sqref="A1:Z300" numberStoredAsText="1" formula="1"/>
  </ignoredErrors>
  <drawing r:id="rId5"/>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102838"/>
    <pageSetUpPr fitToPage="1"/>
  </sheetPr>
  <dimension ref="A1:G35"/>
  <sheetViews>
    <sheetView workbookViewId="0" showGridLines="0"/>
  </sheetViews>
  <sheetFormatPr defaultRowHeight="15" outlineLevelRow="0" outlineLevelCol="0" x14ac:dyDescent="55"/>
  <cols>
    <col min="1" max="1" width="34" customWidth="1"/>
    <col min="2" max="6" width="12" customWidth="1"/>
    <col min="7" max="7" width="14" customWidth="1"/>
  </cols>
  <sheetData>
    <row r="1" ht="32" customHeight="1" spans="1:7" x14ac:dyDescent="0.25">
      <c r="A1" s="1" t="s">
        <v>54</v>
      </c>
      <c r="B1" s="1"/>
      <c r="C1" s="1"/>
      <c r="D1" s="1"/>
      <c r="E1" s="1"/>
      <c r="F1" s="1"/>
      <c r="G1" s="1"/>
    </row>
    <row r="2" ht="18" customHeight="1" spans="1:7" x14ac:dyDescent="0.25">
      <c r="A2" s="10" t="s">
        <v>55</v>
      </c>
      <c r="B2" s="10"/>
      <c r="C2" s="10"/>
      <c r="D2" s="10"/>
      <c r="E2" s="10"/>
      <c r="F2" s="10"/>
      <c r="G2" s="10"/>
    </row>
    <row r="4" ht="20" customHeight="1" spans="1:7" x14ac:dyDescent="0.25">
      <c r="A4" s="3" t="s">
        <v>56</v>
      </c>
      <c r="B4" s="3"/>
      <c r="C4" s="3"/>
      <c r="D4" s="3"/>
      <c r="E4" s="3"/>
      <c r="F4" s="3"/>
      <c r="G4" s="3"/>
    </row>
    <row r="5" ht="18" customHeight="1" spans="1:2" x14ac:dyDescent="0.25">
      <c r="A5" s="5" t="s">
        <v>9</v>
      </c>
      <c r="B5" s="11" t="str">
        <f>IF(COUNT('Clauses 4 to 10'!$E$5:$E$29)=0,"",SUM('Clauses 4 to 10'!$E$5:$E$29)/(3*COUNT('Clauses 4 to 10'!$E$5:$E$29)))</f>
        <v/>
      </c>
    </row>
    <row r="6" ht="18" customHeight="1" spans="1:2" x14ac:dyDescent="0.25">
      <c r="A6" s="5" t="s">
        <v>57</v>
      </c>
      <c r="B6" s="11" t="str">
        <f>IF(COUNTIFS('Annex A controls'!$E$5:$E$97,"Yes",'Annex A controls'!$F$5:$F$97,"&lt;&gt;")=0,"",SUMIFS('Annex A controls'!$F$5:$F$97,'Annex A controls'!$E$5:$E$97,"Yes")/(3*COUNTIFS('Annex A controls'!$E$5:$E$97,"Yes",'Annex A controls'!$F$5:$F$97,"&lt;&gt;")))</f>
        <v/>
      </c>
    </row>
    <row r="7" ht="18" customHeight="1" spans="1:2" x14ac:dyDescent="0.25">
      <c r="A7" s="12" t="s">
        <v>58</v>
      </c>
      <c r="B7" s="13">
        <f>(25-COUNT('Clauses 4 to 10'!$E$5:$E$29))+(COUNTIF('Annex A controls'!$E$5:$E$97,"Yes")-COUNTIFS('Annex A controls'!$E$5:$E$97,"Yes",'Annex A controls'!$F$5:$F$97,"&lt;&gt;"))+(93-COUNTIF('Annex A controls'!$E$5:$E$97,"Yes")-COUNTIF('Annex A controls'!$E$5:$E$97,"No"))</f>
        <v>118</v>
      </c>
    </row>
    <row r="9" ht="20" customHeight="1" spans="1:7" x14ac:dyDescent="0.25">
      <c r="A9" s="3" t="s">
        <v>59</v>
      </c>
      <c r="B9" s="3"/>
      <c r="C9" s="3"/>
      <c r="D9" s="3"/>
      <c r="E9" s="3"/>
      <c r="F9" s="3"/>
      <c r="G9" s="3"/>
    </row>
    <row r="10" ht="30" customHeight="1" spans="1:7" x14ac:dyDescent="0.25">
      <c r="A10" s="14" t="s">
        <v>60</v>
      </c>
      <c r="B10" s="14" t="s">
        <v>61</v>
      </c>
      <c r="C10" s="14" t="s">
        <v>62</v>
      </c>
      <c r="D10" s="14" t="s">
        <v>27</v>
      </c>
      <c r="E10" s="14" t="s">
        <v>63</v>
      </c>
      <c r="F10" s="14" t="s">
        <v>33</v>
      </c>
      <c r="G10" s="14" t="s">
        <v>64</v>
      </c>
    </row>
    <row r="11" ht="18" customHeight="1" spans="1:7" x14ac:dyDescent="0.25">
      <c r="A11" s="5" t="s">
        <v>65</v>
      </c>
      <c r="B11" s="15">
        <f>COUNTIF('Clauses 4 to 10'!$A$5:$A$29,"4.*")</f>
        <v>4</v>
      </c>
      <c r="C11" s="15">
        <f>COUNTIFS('Clauses 4 to 10'!$A$5:$A$29,"4.*",'Clauses 4 to 10'!$E$5:$E$29,"&lt;&gt;")</f>
        <v>0</v>
      </c>
      <c r="D11" s="15">
        <f>COUNTIFS('Clauses 4 to 10'!$A$5:$A$29,"4.*",'Clauses 4 to 10'!$E$5:$E$29,0)</f>
        <v>0</v>
      </c>
      <c r="E11" s="15">
        <f>COUNTIFS('Clauses 4 to 10'!$A$5:$A$29,"4.*",'Clauses 4 to 10'!$E$5:$E$29,1)+COUNTIFS('Clauses 4 to 10'!$A$5:$A$29,"4.*",'Clauses 4 to 10'!$E$5:$E$29,2)</f>
        <v>0</v>
      </c>
      <c r="F11" s="15">
        <f>COUNTIFS('Clauses 4 to 10'!$A$5:$A$29,"4.*",'Clauses 4 to 10'!$E$5:$E$29,3)</f>
        <v>0</v>
      </c>
      <c r="G11" s="16" t="str">
        <f>IF(C11=0,"",SUMIFS('Clauses 4 to 10'!$E$5:$E$29,'Clauses 4 to 10'!$A$5:$A$29,"4.*")/(3*C11))</f>
        <v/>
      </c>
    </row>
    <row r="12" ht="18" customHeight="1" spans="1:7" x14ac:dyDescent="0.25">
      <c r="A12" s="5" t="s">
        <v>66</v>
      </c>
      <c r="B12" s="15">
        <f>COUNTIF('Clauses 4 to 10'!$A$5:$A$29,"5.*")</f>
        <v>3</v>
      </c>
      <c r="C12" s="15">
        <f>COUNTIFS('Clauses 4 to 10'!$A$5:$A$29,"5.*",'Clauses 4 to 10'!$E$5:$E$29,"&lt;&gt;")</f>
        <v>0</v>
      </c>
      <c r="D12" s="15">
        <f>COUNTIFS('Clauses 4 to 10'!$A$5:$A$29,"5.*",'Clauses 4 to 10'!$E$5:$E$29,0)</f>
        <v>0</v>
      </c>
      <c r="E12" s="15">
        <f>COUNTIFS('Clauses 4 to 10'!$A$5:$A$29,"5.*",'Clauses 4 to 10'!$E$5:$E$29,1)+COUNTIFS('Clauses 4 to 10'!$A$5:$A$29,"5.*",'Clauses 4 to 10'!$E$5:$E$29,2)</f>
        <v>0</v>
      </c>
      <c r="F12" s="15">
        <f>COUNTIFS('Clauses 4 to 10'!$A$5:$A$29,"5.*",'Clauses 4 to 10'!$E$5:$E$29,3)</f>
        <v>0</v>
      </c>
      <c r="G12" s="16" t="str">
        <f>IF(C12=0,"",SUMIFS('Clauses 4 to 10'!$E$5:$E$29,'Clauses 4 to 10'!$A$5:$A$29,"5.*")/(3*C12))</f>
        <v/>
      </c>
    </row>
    <row r="13" ht="18" customHeight="1" spans="1:7" x14ac:dyDescent="0.25">
      <c r="A13" s="5" t="s">
        <v>67</v>
      </c>
      <c r="B13" s="15">
        <f>COUNTIF('Clauses 4 to 10'!$A$5:$A$29,"6.*")</f>
        <v>5</v>
      </c>
      <c r="C13" s="15">
        <f>COUNTIFS('Clauses 4 to 10'!$A$5:$A$29,"6.*",'Clauses 4 to 10'!$E$5:$E$29,"&lt;&gt;")</f>
        <v>0</v>
      </c>
      <c r="D13" s="15">
        <f>COUNTIFS('Clauses 4 to 10'!$A$5:$A$29,"6.*",'Clauses 4 to 10'!$E$5:$E$29,0)</f>
        <v>0</v>
      </c>
      <c r="E13" s="15">
        <f>COUNTIFS('Clauses 4 to 10'!$A$5:$A$29,"6.*",'Clauses 4 to 10'!$E$5:$E$29,1)+COUNTIFS('Clauses 4 to 10'!$A$5:$A$29,"6.*",'Clauses 4 to 10'!$E$5:$E$29,2)</f>
        <v>0</v>
      </c>
      <c r="F13" s="15">
        <f>COUNTIFS('Clauses 4 to 10'!$A$5:$A$29,"6.*",'Clauses 4 to 10'!$E$5:$E$29,3)</f>
        <v>0</v>
      </c>
      <c r="G13" s="16" t="str">
        <f>IF(C13=0,"",SUMIFS('Clauses 4 to 10'!$E$5:$E$29,'Clauses 4 to 10'!$A$5:$A$29,"6.*")/(3*C13))</f>
        <v/>
      </c>
    </row>
    <row r="14" ht="18" customHeight="1" spans="1:7" x14ac:dyDescent="0.25">
      <c r="A14" s="5" t="s">
        <v>68</v>
      </c>
      <c r="B14" s="15">
        <f>COUNTIF('Clauses 4 to 10'!$A$5:$A$29,"7.*")</f>
        <v>5</v>
      </c>
      <c r="C14" s="15">
        <f>COUNTIFS('Clauses 4 to 10'!$A$5:$A$29,"7.*",'Clauses 4 to 10'!$E$5:$E$29,"&lt;&gt;")</f>
        <v>0</v>
      </c>
      <c r="D14" s="15">
        <f>COUNTIFS('Clauses 4 to 10'!$A$5:$A$29,"7.*",'Clauses 4 to 10'!$E$5:$E$29,0)</f>
        <v>0</v>
      </c>
      <c r="E14" s="15">
        <f>COUNTIFS('Clauses 4 to 10'!$A$5:$A$29,"7.*",'Clauses 4 to 10'!$E$5:$E$29,1)+COUNTIFS('Clauses 4 to 10'!$A$5:$A$29,"7.*",'Clauses 4 to 10'!$E$5:$E$29,2)</f>
        <v>0</v>
      </c>
      <c r="F14" s="15">
        <f>COUNTIFS('Clauses 4 to 10'!$A$5:$A$29,"7.*",'Clauses 4 to 10'!$E$5:$E$29,3)</f>
        <v>0</v>
      </c>
      <c r="G14" s="16" t="str">
        <f>IF(C14=0,"",SUMIFS('Clauses 4 to 10'!$E$5:$E$29,'Clauses 4 to 10'!$A$5:$A$29,"7.*")/(3*C14))</f>
        <v/>
      </c>
    </row>
    <row r="15" ht="18" customHeight="1" spans="1:7" x14ac:dyDescent="0.25">
      <c r="A15" s="5" t="s">
        <v>69</v>
      </c>
      <c r="B15" s="15">
        <f>COUNTIF('Clauses 4 to 10'!$A$5:$A$29,"8.*")</f>
        <v>3</v>
      </c>
      <c r="C15" s="15">
        <f>COUNTIFS('Clauses 4 to 10'!$A$5:$A$29,"8.*",'Clauses 4 to 10'!$E$5:$E$29,"&lt;&gt;")</f>
        <v>0</v>
      </c>
      <c r="D15" s="15">
        <f>COUNTIFS('Clauses 4 to 10'!$A$5:$A$29,"8.*",'Clauses 4 to 10'!$E$5:$E$29,0)</f>
        <v>0</v>
      </c>
      <c r="E15" s="15">
        <f>COUNTIFS('Clauses 4 to 10'!$A$5:$A$29,"8.*",'Clauses 4 to 10'!$E$5:$E$29,1)+COUNTIFS('Clauses 4 to 10'!$A$5:$A$29,"8.*",'Clauses 4 to 10'!$E$5:$E$29,2)</f>
        <v>0</v>
      </c>
      <c r="F15" s="15">
        <f>COUNTIFS('Clauses 4 to 10'!$A$5:$A$29,"8.*",'Clauses 4 to 10'!$E$5:$E$29,3)</f>
        <v>0</v>
      </c>
      <c r="G15" s="16" t="str">
        <f>IF(C15=0,"",SUMIFS('Clauses 4 to 10'!$E$5:$E$29,'Clauses 4 to 10'!$A$5:$A$29,"8.*")/(3*C15))</f>
        <v/>
      </c>
    </row>
    <row r="16" ht="18" customHeight="1" spans="1:7" x14ac:dyDescent="0.25">
      <c r="A16" s="5" t="s">
        <v>70</v>
      </c>
      <c r="B16" s="15">
        <f>COUNTIF('Clauses 4 to 10'!$A$5:$A$29,"9.*")</f>
        <v>3</v>
      </c>
      <c r="C16" s="15">
        <f>COUNTIFS('Clauses 4 to 10'!$A$5:$A$29,"9.*",'Clauses 4 to 10'!$E$5:$E$29,"&lt;&gt;")</f>
        <v>0</v>
      </c>
      <c r="D16" s="15">
        <f>COUNTIFS('Clauses 4 to 10'!$A$5:$A$29,"9.*",'Clauses 4 to 10'!$E$5:$E$29,0)</f>
        <v>0</v>
      </c>
      <c r="E16" s="15">
        <f>COUNTIFS('Clauses 4 to 10'!$A$5:$A$29,"9.*",'Clauses 4 to 10'!$E$5:$E$29,1)+COUNTIFS('Clauses 4 to 10'!$A$5:$A$29,"9.*",'Clauses 4 to 10'!$E$5:$E$29,2)</f>
        <v>0</v>
      </c>
      <c r="F16" s="15">
        <f>COUNTIFS('Clauses 4 to 10'!$A$5:$A$29,"9.*",'Clauses 4 to 10'!$E$5:$E$29,3)</f>
        <v>0</v>
      </c>
      <c r="G16" s="16" t="str">
        <f>IF(C16=0,"",SUMIFS('Clauses 4 to 10'!$E$5:$E$29,'Clauses 4 to 10'!$A$5:$A$29,"9.*")/(3*C16))</f>
        <v/>
      </c>
    </row>
    <row r="17" ht="18" customHeight="1" spans="1:7" x14ac:dyDescent="0.25">
      <c r="A17" s="5" t="s">
        <v>71</v>
      </c>
      <c r="B17" s="15">
        <f>COUNTIF('Clauses 4 to 10'!$A$5:$A$29,"10.*")</f>
        <v>2</v>
      </c>
      <c r="C17" s="15">
        <f>COUNTIFS('Clauses 4 to 10'!$A$5:$A$29,"10.*",'Clauses 4 to 10'!$E$5:$E$29,"&lt;&gt;")</f>
        <v>0</v>
      </c>
      <c r="D17" s="15">
        <f>COUNTIFS('Clauses 4 to 10'!$A$5:$A$29,"10.*",'Clauses 4 to 10'!$E$5:$E$29,0)</f>
        <v>0</v>
      </c>
      <c r="E17" s="15">
        <f>COUNTIFS('Clauses 4 to 10'!$A$5:$A$29,"10.*",'Clauses 4 to 10'!$E$5:$E$29,1)+COUNTIFS('Clauses 4 to 10'!$A$5:$A$29,"10.*",'Clauses 4 to 10'!$E$5:$E$29,2)</f>
        <v>0</v>
      </c>
      <c r="F17" s="15">
        <f>COUNTIFS('Clauses 4 to 10'!$A$5:$A$29,"10.*",'Clauses 4 to 10'!$E$5:$E$29,3)</f>
        <v>0</v>
      </c>
      <c r="G17" s="16" t="str">
        <f>IF(C17=0,"",SUMIFS('Clauses 4 to 10'!$E$5:$E$29,'Clauses 4 to 10'!$A$5:$A$29,"10.*")/(3*C17))</f>
        <v/>
      </c>
    </row>
    <row r="18" ht="18" customHeight="1" spans="1:7" x14ac:dyDescent="0.25">
      <c r="A18" s="12" t="s">
        <v>72</v>
      </c>
      <c r="B18" s="17">
        <f>SUM(B11:B17)</f>
        <v>25</v>
      </c>
      <c r="C18" s="17">
        <f>SUM(C11:C17)</f>
        <v>0</v>
      </c>
      <c r="D18" s="17">
        <f>SUM(D11:D17)</f>
        <v>0</v>
      </c>
      <c r="E18" s="17">
        <f>SUM(E11:E17)</f>
        <v>0</v>
      </c>
      <c r="F18" s="17">
        <f>SUM(F11:F17)</f>
        <v>0</v>
      </c>
      <c r="G18" s="18" t="str">
        <f>B5</f>
        <v/>
      </c>
    </row>
    <row r="20" ht="20" customHeight="1" spans="1:7" x14ac:dyDescent="0.25">
      <c r="A20" s="3" t="s">
        <v>73</v>
      </c>
      <c r="B20" s="3"/>
      <c r="C20" s="3"/>
      <c r="D20" s="3"/>
      <c r="E20" s="3"/>
      <c r="F20" s="3"/>
      <c r="G20" s="3"/>
    </row>
    <row r="21" ht="30" customHeight="1" spans="1:7" x14ac:dyDescent="0.25">
      <c r="A21" s="14" t="s">
        <v>74</v>
      </c>
      <c r="B21" s="14" t="s">
        <v>75</v>
      </c>
      <c r="C21" s="14" t="s">
        <v>76</v>
      </c>
      <c r="D21" s="14" t="s">
        <v>35</v>
      </c>
      <c r="E21" s="14" t="s">
        <v>77</v>
      </c>
      <c r="F21" s="14" t="s">
        <v>62</v>
      </c>
      <c r="G21" s="14" t="s">
        <v>64</v>
      </c>
    </row>
    <row r="22" ht="18" customHeight="1" spans="1:7" x14ac:dyDescent="0.25">
      <c r="A22" s="5" t="s">
        <v>78</v>
      </c>
      <c r="B22" s="15">
        <f>COUNTIF('Annex A controls'!$C$5:$C$97,"Organisational")</f>
        <v>37</v>
      </c>
      <c r="C22" s="15">
        <f>COUNTIFS('Annex A controls'!$C$5:$C$97,"Organisational",'Annex A controls'!$E$5:$E$97,"Yes")</f>
        <v>0</v>
      </c>
      <c r="D22" s="15">
        <f>COUNTIFS('Annex A controls'!$C$5:$C$97,"Organisational",'Annex A controls'!$E$5:$E$97,"No")</f>
        <v>0</v>
      </c>
      <c r="E22" s="15">
        <f>B22-C22-D22</f>
        <v>37</v>
      </c>
      <c r="F22" s="15">
        <f>COUNTIFS('Annex A controls'!$C$5:$C$97,"Organisational",'Annex A controls'!$E$5:$E$97,"Yes",'Annex A controls'!$F$5:$F$97,"&lt;&gt;")</f>
        <v>0</v>
      </c>
      <c r="G22" s="16" t="str">
        <f>IF(F22=0,"",SUMIFS('Annex A controls'!$F$5:$F$97,'Annex A controls'!$C$5:$C$97,"Organisational",'Annex A controls'!$E$5:$E$97,"Yes")/(3*F22))</f>
        <v/>
      </c>
    </row>
    <row r="23" ht="18" customHeight="1" spans="1:7" x14ac:dyDescent="0.25">
      <c r="A23" s="5" t="s">
        <v>79</v>
      </c>
      <c r="B23" s="15">
        <f>COUNTIF('Annex A controls'!$C$5:$C$97,"People")</f>
        <v>8</v>
      </c>
      <c r="C23" s="15">
        <f>COUNTIFS('Annex A controls'!$C$5:$C$97,"People",'Annex A controls'!$E$5:$E$97,"Yes")</f>
        <v>0</v>
      </c>
      <c r="D23" s="15">
        <f>COUNTIFS('Annex A controls'!$C$5:$C$97,"People",'Annex A controls'!$E$5:$E$97,"No")</f>
        <v>0</v>
      </c>
      <c r="E23" s="15">
        <f>B23-C23-D23</f>
        <v>8</v>
      </c>
      <c r="F23" s="15">
        <f>COUNTIFS('Annex A controls'!$C$5:$C$97,"People",'Annex A controls'!$E$5:$E$97,"Yes",'Annex A controls'!$F$5:$F$97,"&lt;&gt;")</f>
        <v>0</v>
      </c>
      <c r="G23" s="16" t="str">
        <f>IF(F23=0,"",SUMIFS('Annex A controls'!$F$5:$F$97,'Annex A controls'!$C$5:$C$97,"People",'Annex A controls'!$E$5:$E$97,"Yes")/(3*F23))</f>
        <v/>
      </c>
    </row>
    <row r="24" ht="18" customHeight="1" spans="1:7" x14ac:dyDescent="0.25">
      <c r="A24" s="5" t="s">
        <v>80</v>
      </c>
      <c r="B24" s="15">
        <f>COUNTIF('Annex A controls'!$C$5:$C$97,"Physical")</f>
        <v>14</v>
      </c>
      <c r="C24" s="15">
        <f>COUNTIFS('Annex A controls'!$C$5:$C$97,"Physical",'Annex A controls'!$E$5:$E$97,"Yes")</f>
        <v>0</v>
      </c>
      <c r="D24" s="15">
        <f>COUNTIFS('Annex A controls'!$C$5:$C$97,"Physical",'Annex A controls'!$E$5:$E$97,"No")</f>
        <v>0</v>
      </c>
      <c r="E24" s="15">
        <f>B24-C24-D24</f>
        <v>14</v>
      </c>
      <c r="F24" s="15">
        <f>COUNTIFS('Annex A controls'!$C$5:$C$97,"Physical",'Annex A controls'!$E$5:$E$97,"Yes",'Annex A controls'!$F$5:$F$97,"&lt;&gt;")</f>
        <v>0</v>
      </c>
      <c r="G24" s="16" t="str">
        <f>IF(F24=0,"",SUMIFS('Annex A controls'!$F$5:$F$97,'Annex A controls'!$C$5:$C$97,"Physical",'Annex A controls'!$E$5:$E$97,"Yes")/(3*F24))</f>
        <v/>
      </c>
    </row>
    <row r="25" ht="18" customHeight="1" spans="1:7" x14ac:dyDescent="0.25">
      <c r="A25" s="5" t="s">
        <v>81</v>
      </c>
      <c r="B25" s="15">
        <f>COUNTIF('Annex A controls'!$C$5:$C$97,"Technological")</f>
        <v>34</v>
      </c>
      <c r="C25" s="15">
        <f>COUNTIFS('Annex A controls'!$C$5:$C$97,"Technological",'Annex A controls'!$E$5:$E$97,"Yes")</f>
        <v>0</v>
      </c>
      <c r="D25" s="15">
        <f>COUNTIFS('Annex A controls'!$C$5:$C$97,"Technological",'Annex A controls'!$E$5:$E$97,"No")</f>
        <v>0</v>
      </c>
      <c r="E25" s="15">
        <f>B25-C25-D25</f>
        <v>34</v>
      </c>
      <c r="F25" s="15">
        <f>COUNTIFS('Annex A controls'!$C$5:$C$97,"Technological",'Annex A controls'!$E$5:$E$97,"Yes",'Annex A controls'!$F$5:$F$97,"&lt;&gt;")</f>
        <v>0</v>
      </c>
      <c r="G25" s="16" t="str">
        <f>IF(F25=0,"",SUMIFS('Annex A controls'!$F$5:$F$97,'Annex A controls'!$C$5:$C$97,"Technological",'Annex A controls'!$E$5:$E$97,"Yes")/(3*F25))</f>
        <v/>
      </c>
    </row>
    <row r="26" ht="18" customHeight="1" spans="1:7" x14ac:dyDescent="0.25">
      <c r="A26" s="12" t="s">
        <v>82</v>
      </c>
      <c r="B26" s="17">
        <f>SUM(B22:B25)</f>
        <v>93</v>
      </c>
      <c r="C26" s="17">
        <f>SUM(C22:C25)</f>
        <v>0</v>
      </c>
      <c r="D26" s="17">
        <f>SUM(D22:D25)</f>
        <v>0</v>
      </c>
      <c r="E26" s="17">
        <f>SUM(E22:E25)</f>
        <v>93</v>
      </c>
      <c r="F26" s="17">
        <f>SUM(F22:F25)</f>
        <v>0</v>
      </c>
      <c r="G26" s="18" t="str">
        <f>B6</f>
        <v/>
      </c>
    </row>
    <row r="28" ht="20" customHeight="1" spans="1:7" x14ac:dyDescent="0.25">
      <c r="A28" s="3" t="s">
        <v>83</v>
      </c>
      <c r="B28" s="3"/>
      <c r="C28" s="3"/>
      <c r="D28" s="3"/>
      <c r="E28" s="3"/>
      <c r="F28" s="3"/>
      <c r="G28" s="3"/>
    </row>
    <row r="29" ht="30" customHeight="1" spans="1:7" x14ac:dyDescent="0.25">
      <c r="A29" s="14" t="s">
        <v>84</v>
      </c>
      <c r="B29" s="14" t="s">
        <v>85</v>
      </c>
      <c r="C29" s="14" t="s">
        <v>86</v>
      </c>
      <c r="D29" s="14" t="s">
        <v>87</v>
      </c>
      <c r="E29" s="14" t="s">
        <v>88</v>
      </c>
      <c r="F29" s="14" t="s">
        <v>89</v>
      </c>
      <c r="G29" s="14" t="s">
        <v>89</v>
      </c>
    </row>
    <row r="30" ht="18" customHeight="1" spans="1:5" x14ac:dyDescent="0.25">
      <c r="A30" s="5" t="s">
        <v>90</v>
      </c>
      <c r="B30" s="15">
        <f>COUNTIFS('Clauses 4 to 10'!$I$5:$I$29,"High",'Clauses 4 to 10'!$E$5:$E$29,"&lt;3")</f>
        <v>0</v>
      </c>
      <c r="C30" s="15">
        <f>COUNTIFS('Annex A controls'!$J$5:$J$97,"High",'Annex A controls'!$E$5:$E$97,"Yes",'Annex A controls'!$F$5:$F$97,"&lt;3")</f>
        <v>0</v>
      </c>
      <c r="D30" s="15">
        <f>B30+C30</f>
        <v>0</v>
      </c>
      <c r="E30" s="15">
        <f>COUNTIFS('Clauses 4 to 10'!$I$5:$I$29,"High",'Clauses 4 to 10'!$L$5:$L$29,"Done")+COUNTIFS('Annex A controls'!$J$5:$J$97,"High",'Annex A controls'!$M$5:$M$97,"Done")</f>
        <v>0</v>
      </c>
    </row>
    <row r="31" ht="18" customHeight="1" spans="1:5" x14ac:dyDescent="0.25">
      <c r="A31" s="5" t="s">
        <v>91</v>
      </c>
      <c r="B31" s="15">
        <f>COUNTIFS('Clauses 4 to 10'!$I$5:$I$29,"Medium",'Clauses 4 to 10'!$E$5:$E$29,"&lt;3")</f>
        <v>0</v>
      </c>
      <c r="C31" s="15">
        <f>COUNTIFS('Annex A controls'!$J$5:$J$97,"Medium",'Annex A controls'!$E$5:$E$97,"Yes",'Annex A controls'!$F$5:$F$97,"&lt;3")</f>
        <v>0</v>
      </c>
      <c r="D31" s="15">
        <f>B31+C31</f>
        <v>0</v>
      </c>
      <c r="E31" s="15">
        <f>COUNTIFS('Clauses 4 to 10'!$I$5:$I$29,"Medium",'Clauses 4 to 10'!$L$5:$L$29,"Done")+COUNTIFS('Annex A controls'!$J$5:$J$97,"Medium",'Annex A controls'!$M$5:$M$97,"Done")</f>
        <v>0</v>
      </c>
    </row>
    <row r="32" ht="18" customHeight="1" spans="1:5" x14ac:dyDescent="0.25">
      <c r="A32" s="5" t="s">
        <v>92</v>
      </c>
      <c r="B32" s="15">
        <f>COUNTIFS('Clauses 4 to 10'!$I$5:$I$29,"Low",'Clauses 4 to 10'!$E$5:$E$29,"&lt;3")</f>
        <v>0</v>
      </c>
      <c r="C32" s="15">
        <f>COUNTIFS('Annex A controls'!$J$5:$J$97,"Low",'Annex A controls'!$E$5:$E$97,"Yes",'Annex A controls'!$F$5:$F$97,"&lt;3")</f>
        <v>0</v>
      </c>
      <c r="D32" s="15">
        <f>B32+C32</f>
        <v>0</v>
      </c>
      <c r="E32" s="15">
        <f>COUNTIFS('Clauses 4 to 10'!$I$5:$I$29,"Low",'Clauses 4 to 10'!$L$5:$L$29,"Done")+COUNTIFS('Annex A controls'!$J$5:$J$97,"Low",'Annex A controls'!$M$5:$M$97,"Done")</f>
        <v>0</v>
      </c>
    </row>
    <row r="33" ht="18" customHeight="1" spans="1:4" x14ac:dyDescent="0.25">
      <c r="A33" s="12" t="s">
        <v>93</v>
      </c>
      <c r="B33" s="13">
        <f>COUNTIFS('Clauses 4 to 10'!$E$5:$E$29,"&lt;3",'Clauses 4 to 10'!$I$5:$I$29,"")</f>
        <v>0</v>
      </c>
      <c r="C33" s="13">
        <f>COUNTIFS('Annex A controls'!$E$5:$E$97,"Yes",'Annex A controls'!$F$5:$F$97,"&lt;3",'Annex A controls'!$J$5:$J$97,"")</f>
        <v>0</v>
      </c>
      <c r="D33" s="13">
        <f>B33+C33</f>
        <v>0</v>
      </c>
    </row>
    <row r="35" ht="28" customHeight="1" spans="1:7" x14ac:dyDescent="0.25">
      <c r="A35" s="19" t="s">
        <v>94</v>
      </c>
      <c r="B35" s="19"/>
      <c r="C35" s="19"/>
      <c r="D35" s="19"/>
      <c r="E35" s="19"/>
      <c r="F35" s="19"/>
      <c r="G35" s="19"/>
    </row>
  </sheetData>
  <mergeCells count="7">
    <mergeCell ref="A1:G1"/>
    <mergeCell ref="A2:G2"/>
    <mergeCell ref="A4:G4"/>
    <mergeCell ref="A9:G9"/>
    <mergeCell ref="A20:G20"/>
    <mergeCell ref="A28:G28"/>
    <mergeCell ref="A35:G35"/>
  </mergeCells>
  <printOptions horizontalCentered="1"/>
  <pageMargins left="0.4" right="0.4" top="0.6" bottom="0.6" header="0.3" footer="0.3"/>
  <pageSetup paperSize="9" orientation="landscape" fitToWidth="1" fitToHeight="0"/>
  <headerFooter>
    <oddHeader>&amp;L&amp;8ISO 27001 gap analysis template, version October 2026&amp;R&amp;8&amp;A</oddHeader>
    <oddFooter>&amp;L&amp;8Sovereign Secure Ltd  |  sovereignsecure.co.uk  |  +44 161 523 5276&amp;R&amp;8Page &amp;P of &amp;N</oddFooter>
  </headerFooter>
  <ignoredErrors>
    <ignoredError sqref="A1:Z300" numberStoredAsText="1" formula="1"/>
  </ignoredError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102838"/>
    <pageSetUpPr fitToPage="1"/>
  </sheetPr>
  <dimension ref="A1:L29"/>
  <sheetViews>
    <sheetView workbookViewId="0" showGridLines="0">
      <pane xSplit="1" ySplit="4" topLeftCell="B5" activePane="bottomRight" state="frozen"/>
      <selection pane="bottomRight" activeCell="E5" sqref="E5"/>
    </sheetView>
  </sheetViews>
  <sheetFormatPr defaultRowHeight="15" outlineLevelRow="0" outlineLevelCol="0" x14ac:dyDescent="55"/>
  <cols>
    <col min="1" max="1" width="7" customWidth="1"/>
    <col min="2" max="2" width="20" customWidth="1"/>
    <col min="3" max="3" width="50" customWidth="1"/>
    <col min="4" max="4" width="22" customWidth="1"/>
    <col min="6" max="6" width="12" customWidth="1"/>
    <col min="7" max="8" width="30" customWidth="1"/>
    <col min="9" max="9" width="10" customWidth="1"/>
    <col min="10" max="10" width="15" customWidth="1"/>
    <col min="11" max="11" width="12" customWidth="1"/>
    <col min="12" max="12" width="13" customWidth="1"/>
  </cols>
  <sheetData>
    <row r="1" ht="32" customHeight="1" spans="1:12" x14ac:dyDescent="0.25">
      <c r="A1" s="1" t="s">
        <v>95</v>
      </c>
      <c r="B1" s="1"/>
      <c r="C1" s="1"/>
      <c r="D1" s="1"/>
      <c r="E1" s="1"/>
      <c r="F1" s="1"/>
      <c r="G1" s="1"/>
      <c r="H1" s="1"/>
      <c r="I1" s="1"/>
      <c r="J1" s="1"/>
      <c r="K1" s="1"/>
      <c r="L1" s="1"/>
    </row>
    <row r="2" ht="18" customHeight="1" spans="1:12" x14ac:dyDescent="0.25">
      <c r="A2" s="10" t="s">
        <v>96</v>
      </c>
      <c r="B2" s="10"/>
      <c r="C2" s="10"/>
      <c r="D2" s="10"/>
      <c r="E2" s="10"/>
      <c r="F2" s="10"/>
      <c r="G2" s="10"/>
      <c r="H2" s="10"/>
      <c r="I2" s="10"/>
      <c r="J2" s="10"/>
      <c r="K2" s="10"/>
      <c r="L2" s="10"/>
    </row>
    <row r="3" ht="32" customHeight="1" spans="1:12" x14ac:dyDescent="0.25">
      <c r="A3" s="20" t="s">
        <v>97</v>
      </c>
      <c r="B3" s="20"/>
      <c r="C3" s="20"/>
      <c r="D3" s="20"/>
      <c r="E3" s="20"/>
      <c r="F3" s="20"/>
      <c r="G3" s="20"/>
      <c r="H3" s="20"/>
      <c r="I3" s="20"/>
      <c r="J3" s="20"/>
      <c r="K3" s="20"/>
      <c r="L3" s="20"/>
    </row>
    <row r="4" ht="32" customHeight="1" spans="1:12" x14ac:dyDescent="0.25">
      <c r="A4" s="14" t="s">
        <v>98</v>
      </c>
      <c r="B4" s="14" t="s">
        <v>99</v>
      </c>
      <c r="C4" s="14" t="s">
        <v>100</v>
      </c>
      <c r="D4" s="14" t="s">
        <v>101</v>
      </c>
      <c r="E4" s="21" t="s">
        <v>102</v>
      </c>
      <c r="F4" s="14" t="s">
        <v>103</v>
      </c>
      <c r="G4" s="21" t="s">
        <v>104</v>
      </c>
      <c r="H4" s="21" t="s">
        <v>105</v>
      </c>
      <c r="I4" s="21" t="s">
        <v>84</v>
      </c>
      <c r="J4" s="21" t="s">
        <v>106</v>
      </c>
      <c r="K4" s="21" t="s">
        <v>107</v>
      </c>
      <c r="L4" s="21" t="s">
        <v>108</v>
      </c>
    </row>
    <row r="5" ht="59" customHeight="1" spans="1:12" x14ac:dyDescent="0.25">
      <c r="A5" s="22" t="s">
        <v>109</v>
      </c>
      <c r="B5" s="23" t="s">
        <v>110</v>
      </c>
      <c r="C5" s="23" t="s">
        <v>111</v>
      </c>
      <c r="D5" s="23" t="s">
        <v>112</v>
      </c>
      <c r="E5" s="24"/>
      <c r="F5" s="25" t="str">
        <f>IF(E5="","",IF(E5=3,"Met",IF(E5=0,"Not met","Partly met")))</f>
        <v/>
      </c>
      <c r="G5" s="23"/>
      <c r="H5" s="23"/>
      <c r="I5" s="23"/>
      <c r="J5" s="23"/>
      <c r="K5" s="26"/>
      <c r="L5" s="23"/>
    </row>
    <row r="6" ht="59" customHeight="1" spans="1:12" x14ac:dyDescent="0.25">
      <c r="A6" s="22" t="s">
        <v>113</v>
      </c>
      <c r="B6" s="23" t="s">
        <v>114</v>
      </c>
      <c r="C6" s="23" t="s">
        <v>115</v>
      </c>
      <c r="D6" s="23" t="s">
        <v>116</v>
      </c>
      <c r="E6" s="24"/>
      <c r="F6" s="25" t="str">
        <f>IF(E6="","",IF(E6=3,"Met",IF(E6=0,"Not met","Partly met")))</f>
        <v/>
      </c>
      <c r="G6" s="23"/>
      <c r="H6" s="23"/>
      <c r="I6" s="23"/>
      <c r="J6" s="23"/>
      <c r="K6" s="26"/>
      <c r="L6" s="23"/>
    </row>
    <row r="7" ht="45.5" customHeight="1" spans="1:12" x14ac:dyDescent="0.25">
      <c r="A7" s="22" t="s">
        <v>117</v>
      </c>
      <c r="B7" s="23" t="s">
        <v>118</v>
      </c>
      <c r="C7" s="23" t="s">
        <v>119</v>
      </c>
      <c r="D7" s="23" t="s">
        <v>120</v>
      </c>
      <c r="E7" s="24"/>
      <c r="F7" s="25" t="str">
        <f>IF(E7="","",IF(E7=3,"Met",IF(E7=0,"Not met","Partly met")))</f>
        <v/>
      </c>
      <c r="G7" s="23"/>
      <c r="H7" s="23"/>
      <c r="I7" s="23"/>
      <c r="J7" s="23"/>
      <c r="K7" s="26"/>
      <c r="L7" s="23"/>
    </row>
    <row r="8" ht="45.5" customHeight="1" spans="1:12" x14ac:dyDescent="0.25">
      <c r="A8" s="22" t="s">
        <v>121</v>
      </c>
      <c r="B8" s="23" t="s">
        <v>122</v>
      </c>
      <c r="C8" s="23" t="s">
        <v>123</v>
      </c>
      <c r="D8" s="23" t="s">
        <v>124</v>
      </c>
      <c r="E8" s="24"/>
      <c r="F8" s="25" t="str">
        <f>IF(E8="","",IF(E8=3,"Met",IF(E8=0,"Not met","Partly met")))</f>
        <v/>
      </c>
      <c r="G8" s="23"/>
      <c r="H8" s="23"/>
      <c r="I8" s="23"/>
      <c r="J8" s="23"/>
      <c r="K8" s="26"/>
      <c r="L8" s="23"/>
    </row>
    <row r="9" ht="59" customHeight="1" spans="1:12" x14ac:dyDescent="0.25">
      <c r="A9" s="27" t="s">
        <v>125</v>
      </c>
      <c r="B9" s="8" t="s">
        <v>126</v>
      </c>
      <c r="C9" s="8" t="s">
        <v>127</v>
      </c>
      <c r="D9" s="8" t="s">
        <v>128</v>
      </c>
      <c r="E9" s="13"/>
      <c r="F9" s="25" t="str">
        <f>IF(E9="","",IF(E9=3,"Met",IF(E9=0,"Not met","Partly met")))</f>
        <v/>
      </c>
      <c r="G9" s="8"/>
      <c r="H9" s="8"/>
      <c r="I9" s="8"/>
      <c r="J9" s="8"/>
      <c r="K9" s="28"/>
      <c r="L9" s="8"/>
    </row>
    <row r="10" ht="86" customHeight="1" spans="1:12" x14ac:dyDescent="0.25">
      <c r="A10" s="27" t="s">
        <v>129</v>
      </c>
      <c r="B10" s="8" t="s">
        <v>130</v>
      </c>
      <c r="C10" s="8" t="s">
        <v>131</v>
      </c>
      <c r="D10" s="8" t="s">
        <v>132</v>
      </c>
      <c r="E10" s="13"/>
      <c r="F10" s="25" t="str">
        <f>IF(E10="","",IF(E10=3,"Met",IF(E10=0,"Not met","Partly met")))</f>
        <v/>
      </c>
      <c r="G10" s="8"/>
      <c r="H10" s="8"/>
      <c r="I10" s="8"/>
      <c r="J10" s="8"/>
      <c r="K10" s="28"/>
      <c r="L10" s="8"/>
    </row>
    <row r="11" ht="45.5" customHeight="1" spans="1:12" x14ac:dyDescent="0.25">
      <c r="A11" s="27" t="s">
        <v>133</v>
      </c>
      <c r="B11" s="8" t="s">
        <v>134</v>
      </c>
      <c r="C11" s="8" t="s">
        <v>135</v>
      </c>
      <c r="D11" s="8" t="s">
        <v>136</v>
      </c>
      <c r="E11" s="13"/>
      <c r="F11" s="25" t="str">
        <f>IF(E11="","",IF(E11=3,"Met",IF(E11=0,"Not met","Partly met")))</f>
        <v/>
      </c>
      <c r="G11" s="8"/>
      <c r="H11" s="8"/>
      <c r="I11" s="8"/>
      <c r="J11" s="8"/>
      <c r="K11" s="28"/>
      <c r="L11" s="8"/>
    </row>
    <row r="12" ht="32" customHeight="1" spans="1:12" x14ac:dyDescent="0.25">
      <c r="A12" s="22" t="s">
        <v>137</v>
      </c>
      <c r="B12" s="23" t="s">
        <v>138</v>
      </c>
      <c r="C12" s="23" t="s">
        <v>139</v>
      </c>
      <c r="D12" s="23" t="s">
        <v>140</v>
      </c>
      <c r="E12" s="24"/>
      <c r="F12" s="25" t="str">
        <f>IF(E12="","",IF(E12=3,"Met",IF(E12=0,"Not met","Partly met")))</f>
        <v/>
      </c>
      <c r="G12" s="23"/>
      <c r="H12" s="23"/>
      <c r="I12" s="23"/>
      <c r="J12" s="23"/>
      <c r="K12" s="26"/>
      <c r="L12" s="23"/>
    </row>
    <row r="13" ht="59" customHeight="1" spans="1:12" x14ac:dyDescent="0.25">
      <c r="A13" s="22" t="s">
        <v>141</v>
      </c>
      <c r="B13" s="23" t="s">
        <v>142</v>
      </c>
      <c r="C13" s="23" t="s">
        <v>143</v>
      </c>
      <c r="D13" s="23" t="s">
        <v>144</v>
      </c>
      <c r="E13" s="24"/>
      <c r="F13" s="25" t="str">
        <f>IF(E13="","",IF(E13=3,"Met",IF(E13=0,"Not met","Partly met")))</f>
        <v/>
      </c>
      <c r="G13" s="23"/>
      <c r="H13" s="23"/>
      <c r="I13" s="23"/>
      <c r="J13" s="23"/>
      <c r="K13" s="26"/>
      <c r="L13" s="23"/>
    </row>
    <row r="14" ht="59" customHeight="1" spans="1:12" x14ac:dyDescent="0.25">
      <c r="A14" s="22" t="s">
        <v>145</v>
      </c>
      <c r="B14" s="23" t="s">
        <v>146</v>
      </c>
      <c r="C14" s="23" t="s">
        <v>147</v>
      </c>
      <c r="D14" s="23" t="s">
        <v>148</v>
      </c>
      <c r="E14" s="24"/>
      <c r="F14" s="25" t="str">
        <f>IF(E14="","",IF(E14=3,"Met",IF(E14=0,"Not met","Partly met")))</f>
        <v/>
      </c>
      <c r="G14" s="23"/>
      <c r="H14" s="23"/>
      <c r="I14" s="23"/>
      <c r="J14" s="23"/>
      <c r="K14" s="26"/>
      <c r="L14" s="23"/>
    </row>
    <row r="15" ht="59" customHeight="1" spans="1:12" x14ac:dyDescent="0.25">
      <c r="A15" s="22" t="s">
        <v>149</v>
      </c>
      <c r="B15" s="23" t="s">
        <v>150</v>
      </c>
      <c r="C15" s="23" t="s">
        <v>151</v>
      </c>
      <c r="D15" s="23" t="s">
        <v>152</v>
      </c>
      <c r="E15" s="24"/>
      <c r="F15" s="25" t="str">
        <f>IF(E15="","",IF(E15=3,"Met",IF(E15=0,"Not met","Partly met")))</f>
        <v/>
      </c>
      <c r="G15" s="23"/>
      <c r="H15" s="23"/>
      <c r="I15" s="23"/>
      <c r="J15" s="23"/>
      <c r="K15" s="26"/>
      <c r="L15" s="23"/>
    </row>
    <row r="16" ht="30" customHeight="1" spans="1:12" x14ac:dyDescent="0.25">
      <c r="A16" s="22" t="s">
        <v>153</v>
      </c>
      <c r="B16" s="23" t="s">
        <v>154</v>
      </c>
      <c r="C16" s="23" t="s">
        <v>155</v>
      </c>
      <c r="D16" s="23" t="s">
        <v>156</v>
      </c>
      <c r="E16" s="24"/>
      <c r="F16" s="25" t="str">
        <f>IF(E16="","",IF(E16=3,"Met",IF(E16=0,"Not met","Partly met")))</f>
        <v/>
      </c>
      <c r="G16" s="23"/>
      <c r="H16" s="23"/>
      <c r="I16" s="23"/>
      <c r="J16" s="23"/>
      <c r="K16" s="26"/>
      <c r="L16" s="23"/>
    </row>
    <row r="17" ht="32" customHeight="1" spans="1:12" x14ac:dyDescent="0.25">
      <c r="A17" s="27" t="s">
        <v>157</v>
      </c>
      <c r="B17" s="8" t="s">
        <v>158</v>
      </c>
      <c r="C17" s="8" t="s">
        <v>159</v>
      </c>
      <c r="D17" s="8" t="s">
        <v>160</v>
      </c>
      <c r="E17" s="13"/>
      <c r="F17" s="25" t="str">
        <f>IF(E17="","",IF(E17=3,"Met",IF(E17=0,"Not met","Partly met")))</f>
        <v/>
      </c>
      <c r="G17" s="8"/>
      <c r="H17" s="8"/>
      <c r="I17" s="8"/>
      <c r="J17" s="8"/>
      <c r="K17" s="28"/>
      <c r="L17" s="8"/>
    </row>
    <row r="18" ht="45.5" customHeight="1" spans="1:12" x14ac:dyDescent="0.25">
      <c r="A18" s="27" t="s">
        <v>161</v>
      </c>
      <c r="B18" s="8" t="s">
        <v>162</v>
      </c>
      <c r="C18" s="8" t="s">
        <v>163</v>
      </c>
      <c r="D18" s="8" t="s">
        <v>164</v>
      </c>
      <c r="E18" s="13"/>
      <c r="F18" s="25" t="str">
        <f>IF(E18="","",IF(E18=3,"Met",IF(E18=0,"Not met","Partly met")))</f>
        <v/>
      </c>
      <c r="G18" s="8"/>
      <c r="H18" s="8"/>
      <c r="I18" s="8"/>
      <c r="J18" s="8"/>
      <c r="K18" s="28"/>
      <c r="L18" s="8"/>
    </row>
    <row r="19" ht="45.5" customHeight="1" spans="1:12" x14ac:dyDescent="0.25">
      <c r="A19" s="27" t="s">
        <v>165</v>
      </c>
      <c r="B19" s="8" t="s">
        <v>166</v>
      </c>
      <c r="C19" s="8" t="s">
        <v>167</v>
      </c>
      <c r="D19" s="8" t="s">
        <v>168</v>
      </c>
      <c r="E19" s="13"/>
      <c r="F19" s="25" t="str">
        <f>IF(E19="","",IF(E19=3,"Met",IF(E19=0,"Not met","Partly met")))</f>
        <v/>
      </c>
      <c r="G19" s="8"/>
      <c r="H19" s="8"/>
      <c r="I19" s="8"/>
      <c r="J19" s="8"/>
      <c r="K19" s="28"/>
      <c r="L19" s="8"/>
    </row>
    <row r="20" ht="32" customHeight="1" spans="1:12" x14ac:dyDescent="0.25">
      <c r="A20" s="27" t="s">
        <v>169</v>
      </c>
      <c r="B20" s="8" t="s">
        <v>170</v>
      </c>
      <c r="C20" s="8" t="s">
        <v>171</v>
      </c>
      <c r="D20" s="8" t="s">
        <v>172</v>
      </c>
      <c r="E20" s="13"/>
      <c r="F20" s="25" t="str">
        <f>IF(E20="","",IF(E20=3,"Met",IF(E20=0,"Not met","Partly met")))</f>
        <v/>
      </c>
      <c r="G20" s="8"/>
      <c r="H20" s="8"/>
      <c r="I20" s="8"/>
      <c r="J20" s="8"/>
      <c r="K20" s="28"/>
      <c r="L20" s="8"/>
    </row>
    <row r="21" ht="59" customHeight="1" spans="1:12" x14ac:dyDescent="0.25">
      <c r="A21" s="27" t="s">
        <v>173</v>
      </c>
      <c r="B21" s="8" t="s">
        <v>174</v>
      </c>
      <c r="C21" s="8" t="s">
        <v>175</v>
      </c>
      <c r="D21" s="8" t="s">
        <v>176</v>
      </c>
      <c r="E21" s="13"/>
      <c r="F21" s="25" t="str">
        <f>IF(E21="","",IF(E21=3,"Met",IF(E21=0,"Not met","Partly met")))</f>
        <v/>
      </c>
      <c r="G21" s="8"/>
      <c r="H21" s="8"/>
      <c r="I21" s="8"/>
      <c r="J21" s="8"/>
      <c r="K21" s="28"/>
      <c r="L21" s="8"/>
    </row>
    <row r="22" ht="72.5" customHeight="1" spans="1:12" x14ac:dyDescent="0.25">
      <c r="A22" s="22" t="s">
        <v>177</v>
      </c>
      <c r="B22" s="23" t="s">
        <v>178</v>
      </c>
      <c r="C22" s="23" t="s">
        <v>179</v>
      </c>
      <c r="D22" s="23" t="s">
        <v>180</v>
      </c>
      <c r="E22" s="24"/>
      <c r="F22" s="25" t="str">
        <f>IF(E22="","",IF(E22=3,"Met",IF(E22=0,"Not met","Partly met")))</f>
        <v/>
      </c>
      <c r="G22" s="23"/>
      <c r="H22" s="23"/>
      <c r="I22" s="23"/>
      <c r="J22" s="23"/>
      <c r="K22" s="26"/>
      <c r="L22" s="23"/>
    </row>
    <row r="23" ht="45.5" customHeight="1" spans="1:12" x14ac:dyDescent="0.25">
      <c r="A23" s="22" t="s">
        <v>181</v>
      </c>
      <c r="B23" s="23" t="s">
        <v>182</v>
      </c>
      <c r="C23" s="23" t="s">
        <v>183</v>
      </c>
      <c r="D23" s="23" t="s">
        <v>184</v>
      </c>
      <c r="E23" s="24"/>
      <c r="F23" s="25" t="str">
        <f>IF(E23="","",IF(E23=3,"Met",IF(E23=0,"Not met","Partly met")))</f>
        <v/>
      </c>
      <c r="G23" s="23"/>
      <c r="H23" s="23"/>
      <c r="I23" s="23"/>
      <c r="J23" s="23"/>
      <c r="K23" s="26"/>
      <c r="L23" s="23"/>
    </row>
    <row r="24" ht="32" customHeight="1" spans="1:12" x14ac:dyDescent="0.25">
      <c r="A24" s="22" t="s">
        <v>185</v>
      </c>
      <c r="B24" s="23" t="s">
        <v>186</v>
      </c>
      <c r="C24" s="23" t="s">
        <v>187</v>
      </c>
      <c r="D24" s="23" t="s">
        <v>188</v>
      </c>
      <c r="E24" s="24"/>
      <c r="F24" s="25" t="str">
        <f>IF(E24="","",IF(E24=3,"Met",IF(E24=0,"Not met","Partly met")))</f>
        <v/>
      </c>
      <c r="G24" s="23"/>
      <c r="H24" s="23"/>
      <c r="I24" s="23"/>
      <c r="J24" s="23"/>
      <c r="K24" s="26"/>
      <c r="L24" s="23"/>
    </row>
    <row r="25" ht="45.5" customHeight="1" spans="1:12" x14ac:dyDescent="0.25">
      <c r="A25" s="27" t="s">
        <v>189</v>
      </c>
      <c r="B25" s="8" t="s">
        <v>190</v>
      </c>
      <c r="C25" s="8" t="s">
        <v>191</v>
      </c>
      <c r="D25" s="8" t="s">
        <v>192</v>
      </c>
      <c r="E25" s="13"/>
      <c r="F25" s="25" t="str">
        <f>IF(E25="","",IF(E25=3,"Met",IF(E25=0,"Not met","Partly met")))</f>
        <v/>
      </c>
      <c r="G25" s="8"/>
      <c r="H25" s="8"/>
      <c r="I25" s="8"/>
      <c r="J25" s="8"/>
      <c r="K25" s="28"/>
      <c r="L25" s="8"/>
    </row>
    <row r="26" ht="45.5" customHeight="1" spans="1:12" x14ac:dyDescent="0.25">
      <c r="A26" s="27" t="s">
        <v>193</v>
      </c>
      <c r="B26" s="8" t="s">
        <v>194</v>
      </c>
      <c r="C26" s="8" t="s">
        <v>195</v>
      </c>
      <c r="D26" s="8" t="s">
        <v>196</v>
      </c>
      <c r="E26" s="13"/>
      <c r="F26" s="25" t="str">
        <f>IF(E26="","",IF(E26=3,"Met",IF(E26=0,"Not met","Partly met")))</f>
        <v/>
      </c>
      <c r="G26" s="8"/>
      <c r="H26" s="8"/>
      <c r="I26" s="8"/>
      <c r="J26" s="8"/>
      <c r="K26" s="28"/>
      <c r="L26" s="8"/>
    </row>
    <row r="27" ht="72.5" customHeight="1" spans="1:12" x14ac:dyDescent="0.25">
      <c r="A27" s="27" t="s">
        <v>197</v>
      </c>
      <c r="B27" s="8" t="s">
        <v>198</v>
      </c>
      <c r="C27" s="8" t="s">
        <v>199</v>
      </c>
      <c r="D27" s="8" t="s">
        <v>200</v>
      </c>
      <c r="E27" s="13"/>
      <c r="F27" s="25" t="str">
        <f>IF(E27="","",IF(E27=3,"Met",IF(E27=0,"Not met","Partly met")))</f>
        <v/>
      </c>
      <c r="G27" s="8"/>
      <c r="H27" s="8"/>
      <c r="I27" s="8"/>
      <c r="J27" s="8"/>
      <c r="K27" s="28"/>
      <c r="L27" s="8"/>
    </row>
    <row r="28" ht="32" customHeight="1" spans="1:12" x14ac:dyDescent="0.25">
      <c r="A28" s="22" t="s">
        <v>201</v>
      </c>
      <c r="B28" s="23" t="s">
        <v>202</v>
      </c>
      <c r="C28" s="23" t="s">
        <v>203</v>
      </c>
      <c r="D28" s="23" t="s">
        <v>204</v>
      </c>
      <c r="E28" s="24"/>
      <c r="F28" s="25" t="str">
        <f>IF(E28="","",IF(E28=3,"Met",IF(E28=0,"Not met","Partly met")))</f>
        <v/>
      </c>
      <c r="G28" s="23"/>
      <c r="H28" s="23"/>
      <c r="I28" s="23"/>
      <c r="J28" s="23"/>
      <c r="K28" s="26"/>
      <c r="L28" s="23"/>
    </row>
    <row r="29" ht="45.5" customHeight="1" spans="1:12" x14ac:dyDescent="0.25">
      <c r="A29" s="22" t="s">
        <v>205</v>
      </c>
      <c r="B29" s="23" t="s">
        <v>206</v>
      </c>
      <c r="C29" s="23" t="s">
        <v>207</v>
      </c>
      <c r="D29" s="23" t="s">
        <v>208</v>
      </c>
      <c r="E29" s="24"/>
      <c r="F29" s="25" t="str">
        <f>IF(E29="","",IF(E29=3,"Met",IF(E29=0,"Not met","Partly met")))</f>
        <v/>
      </c>
      <c r="G29" s="23"/>
      <c r="H29" s="23"/>
      <c r="I29" s="23"/>
      <c r="J29" s="23"/>
      <c r="K29" s="26"/>
      <c r="L29" s="23"/>
    </row>
  </sheetData>
  <autoFilter ref="A4:L29"/>
  <mergeCells count="3">
    <mergeCell ref="A1:L1"/>
    <mergeCell ref="A2:L2"/>
    <mergeCell ref="A3:L3"/>
  </mergeCells>
  <conditionalFormatting sqref="F5:F29">
    <cfRule type="cellIs" dxfId="0" priority="1" operator="equal">
      <formula>"Met"</formula>
    </cfRule>
    <cfRule type="cellIs" dxfId="1" priority="2" operator="equal">
      <formula>"Partly met"</formula>
    </cfRule>
    <cfRule type="cellIs" dxfId="2" priority="3" operator="equal">
      <formula>"Not met"</formula>
    </cfRule>
    <cfRule type="cellIs" dxfId="3" priority="4" operator="equal">
      <formula>"Not applicable"</formula>
    </cfRule>
  </conditionalFormatting>
  <conditionalFormatting sqref="I5:I29">
    <cfRule type="cellIs" dxfId="4" priority="1" operator="equal">
      <formula>"High"</formula>
    </cfRule>
    <cfRule type="cellIs" dxfId="5" priority="2" operator="equal">
      <formula>"Medium"</formula>
    </cfRule>
    <cfRule type="cellIs" dxfId="6" priority="3" operator="equal">
      <formula>"Low"</formula>
    </cfRule>
  </conditionalFormatting>
  <conditionalFormatting sqref="L5:L29">
    <cfRule type="cellIs" dxfId="7" priority="1" operator="equal">
      <formula>"Not started"</formula>
    </cfRule>
    <cfRule type="cellIs" dxfId="8" priority="2" operator="equal">
      <formula>"In progress"</formula>
    </cfRule>
    <cfRule type="cellIs" dxfId="9" priority="3" operator="equal">
      <formula>"Done"</formula>
    </cfRule>
  </conditionalFormatting>
  <dataValidations count="4">
    <dataValidation type="list" allowBlank="1" showInputMessage="1" promptTitle="Score" prompt="0 nothing in place, 1 documented or planned, 2 operating but records incomplete, 3 operating with records an auditor could sample." showErrorMessage="1" errorStyle="stop" errorTitle="Choose from the list" error="Pick one of: 0, 1, 2, 3." sqref="E5:E29">
      <formula1>"0,1,2,3"</formula1>
    </dataValidation>
    <dataValidation type="list" allowBlank="1" showInputMessage="1" promptTitle="Priority" prompt="High, Medium or Low, by the risk the gap leaves open." showErrorMessage="1" errorStyle="stop" errorTitle="Choose from the list" error="Pick one of: High, Medium, Low." sqref="I5:I29">
      <formula1>"High,Medium,Low"</formula1>
    </dataValidation>
    <dataValidation type="date" operator="greaterThan" allowBlank="1" showErrorMessage="1" errorStyle="stop" errorTitle="Enter a date" error="Enter a date, for example 30/11/2026." sqref="K5:K29">
      <formula1>36526</formula1>
    </dataValidation>
    <dataValidation type="list" allowBlank="1" showInputMessage="1" promptTitle="Status" prompt="Not started, In progress or Done." showErrorMessage="1" errorStyle="stop" errorTitle="Choose from the list" error="Pick one of: Not started, In progress, Done." sqref="L5:L29">
      <formula1>"Not started,In progress,Done"</formula1>
    </dataValidation>
  </dataValidations>
  <printOptions horizontalCentered="1"/>
  <pageMargins left="0.4" right="0.4" top="0.6" bottom="0.6" header="0.3" footer="0.3"/>
  <pageSetup paperSize="9" orientation="landscape" fitToWidth="1" fitToHeight="0"/>
  <headerFooter>
    <oddHeader>&amp;L&amp;8ISO 27001 gap analysis template, version October 2026&amp;R&amp;8&amp;A</oddHeader>
    <oddFooter>&amp;L&amp;8Sovereign Secure Ltd  |  sovereignsecure.co.uk  |  +44 161 523 5276&amp;R&amp;8Page &amp;P of &amp;N</oddFooter>
  </headerFooter>
  <ignoredErrors>
    <ignoredError sqref="A1:Z300" numberStoredAsText="1" formula="1"/>
  </ignoredError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102838"/>
    <pageSetUpPr fitToPage="1"/>
  </sheetPr>
  <dimension ref="A1:M97"/>
  <sheetViews>
    <sheetView workbookViewId="0" showGridLines="0">
      <pane xSplit="2" ySplit="4" topLeftCell="C5" activePane="bottomRight" state="frozen"/>
      <selection pane="bottomRight" activeCell="E5" sqref="E5"/>
    </sheetView>
  </sheetViews>
  <sheetFormatPr defaultRowHeight="15" outlineLevelRow="0" outlineLevelCol="0" x14ac:dyDescent="55"/>
  <cols>
    <col min="1" max="1" width="7" customWidth="1"/>
    <col min="2" max="2" width="34" customWidth="1"/>
    <col min="3" max="3" width="14" customWidth="1"/>
    <col min="4" max="4" width="34" customWidth="1"/>
    <col min="5" max="5" width="11" customWidth="1"/>
    <col min="7" max="7" width="13" customWidth="1"/>
    <col min="8" max="9" width="28" customWidth="1"/>
    <col min="10" max="10" width="10" customWidth="1"/>
    <col min="11" max="11" width="15" customWidth="1"/>
    <col min="12" max="12" width="12" customWidth="1"/>
    <col min="13" max="13" width="13" customWidth="1"/>
  </cols>
  <sheetData>
    <row r="1" ht="32" customHeight="1" spans="1:13" x14ac:dyDescent="0.25">
      <c r="A1" s="1" t="s">
        <v>209</v>
      </c>
      <c r="B1" s="1"/>
      <c r="C1" s="1"/>
      <c r="D1" s="1"/>
      <c r="E1" s="1"/>
      <c r="F1" s="1"/>
      <c r="G1" s="1"/>
      <c r="H1" s="1"/>
      <c r="I1" s="1"/>
      <c r="J1" s="1"/>
      <c r="K1" s="1"/>
      <c r="L1" s="1"/>
      <c r="M1" s="1"/>
    </row>
    <row r="2" ht="18" customHeight="1" spans="1:13" x14ac:dyDescent="0.25">
      <c r="A2" s="10" t="s">
        <v>210</v>
      </c>
      <c r="B2" s="10"/>
      <c r="C2" s="10"/>
      <c r="D2" s="10"/>
      <c r="E2" s="10"/>
      <c r="F2" s="10"/>
      <c r="G2" s="10"/>
      <c r="H2" s="10"/>
      <c r="I2" s="10"/>
      <c r="J2" s="10"/>
      <c r="K2" s="10"/>
      <c r="L2" s="10"/>
      <c r="M2" s="10"/>
    </row>
    <row r="3" ht="32" customHeight="1" spans="1:13" x14ac:dyDescent="0.25">
      <c r="A3" s="20" t="s">
        <v>211</v>
      </c>
      <c r="B3" s="20"/>
      <c r="C3" s="20"/>
      <c r="D3" s="20"/>
      <c r="E3" s="20"/>
      <c r="F3" s="20"/>
      <c r="G3" s="20"/>
      <c r="H3" s="20"/>
      <c r="I3" s="20"/>
      <c r="J3" s="20"/>
      <c r="K3" s="20"/>
      <c r="L3" s="20"/>
      <c r="M3" s="20"/>
    </row>
    <row r="4" ht="32" customHeight="1" spans="1:13" x14ac:dyDescent="0.25">
      <c r="A4" s="14" t="s">
        <v>98</v>
      </c>
      <c r="B4" s="14" t="s">
        <v>212</v>
      </c>
      <c r="C4" s="14" t="s">
        <v>74</v>
      </c>
      <c r="D4" s="14" t="s">
        <v>213</v>
      </c>
      <c r="E4" s="21" t="s">
        <v>214</v>
      </c>
      <c r="F4" s="21" t="s">
        <v>102</v>
      </c>
      <c r="G4" s="14" t="s">
        <v>103</v>
      </c>
      <c r="H4" s="21" t="s">
        <v>104</v>
      </c>
      <c r="I4" s="21" t="s">
        <v>215</v>
      </c>
      <c r="J4" s="21" t="s">
        <v>84</v>
      </c>
      <c r="K4" s="21" t="s">
        <v>106</v>
      </c>
      <c r="L4" s="21" t="s">
        <v>107</v>
      </c>
      <c r="M4" s="21" t="s">
        <v>108</v>
      </c>
    </row>
    <row r="5" ht="32" customHeight="1" spans="1:13" x14ac:dyDescent="0.25">
      <c r="A5" s="22" t="s">
        <v>125</v>
      </c>
      <c r="B5" s="23" t="s">
        <v>216</v>
      </c>
      <c r="C5" s="23" t="s">
        <v>217</v>
      </c>
      <c r="D5" s="23" t="s">
        <v>218</v>
      </c>
      <c r="E5" s="23"/>
      <c r="F5" s="24"/>
      <c r="G5" s="25" t="str">
        <f>IF(E5="No","Not applicable",IF(F5="","",IF(F5=3,"Met",IF(F5=0,"Not met","Partly met"))))</f>
        <v/>
      </c>
      <c r="H5" s="23"/>
      <c r="I5" s="23"/>
      <c r="J5" s="23"/>
      <c r="K5" s="23"/>
      <c r="L5" s="26"/>
      <c r="M5" s="23"/>
    </row>
    <row r="6" ht="32" customHeight="1" spans="1:13" x14ac:dyDescent="0.25">
      <c r="A6" s="22" t="s">
        <v>129</v>
      </c>
      <c r="B6" s="23" t="s">
        <v>219</v>
      </c>
      <c r="C6" s="23" t="s">
        <v>217</v>
      </c>
      <c r="D6" s="23" t="s">
        <v>220</v>
      </c>
      <c r="E6" s="23"/>
      <c r="F6" s="24"/>
      <c r="G6" s="25" t="str">
        <f>IF(E6="No","Not applicable",IF(F6="","",IF(F6=3,"Met",IF(F6=0,"Not met","Partly met"))))</f>
        <v/>
      </c>
      <c r="H6" s="23"/>
      <c r="I6" s="23"/>
      <c r="J6" s="23"/>
      <c r="K6" s="23"/>
      <c r="L6" s="26"/>
      <c r="M6" s="23"/>
    </row>
    <row r="7" ht="32" customHeight="1" spans="1:13" x14ac:dyDescent="0.25">
      <c r="A7" s="22" t="s">
        <v>133</v>
      </c>
      <c r="B7" s="23" t="s">
        <v>221</v>
      </c>
      <c r="C7" s="23" t="s">
        <v>217</v>
      </c>
      <c r="D7" s="23" t="s">
        <v>222</v>
      </c>
      <c r="E7" s="23"/>
      <c r="F7" s="24"/>
      <c r="G7" s="25" t="str">
        <f>IF(E7="No","Not applicable",IF(F7="","",IF(F7=3,"Met",IF(F7=0,"Not met","Partly met"))))</f>
        <v/>
      </c>
      <c r="H7" s="23"/>
      <c r="I7" s="23"/>
      <c r="J7" s="23"/>
      <c r="K7" s="23"/>
      <c r="L7" s="26"/>
      <c r="M7" s="23"/>
    </row>
    <row r="8" ht="30" customHeight="1" spans="1:13" x14ac:dyDescent="0.25">
      <c r="A8" s="22" t="s">
        <v>223</v>
      </c>
      <c r="B8" s="23" t="s">
        <v>224</v>
      </c>
      <c r="C8" s="23" t="s">
        <v>217</v>
      </c>
      <c r="D8" s="23" t="s">
        <v>225</v>
      </c>
      <c r="E8" s="23"/>
      <c r="F8" s="24"/>
      <c r="G8" s="25" t="str">
        <f>IF(E8="No","Not applicable",IF(F8="","",IF(F8=3,"Met",IF(F8=0,"Not met","Partly met"))))</f>
        <v/>
      </c>
      <c r="H8" s="23"/>
      <c r="I8" s="23"/>
      <c r="J8" s="23"/>
      <c r="K8" s="23"/>
      <c r="L8" s="26"/>
      <c r="M8" s="23"/>
    </row>
    <row r="9" ht="32" customHeight="1" spans="1:13" x14ac:dyDescent="0.25">
      <c r="A9" s="22" t="s">
        <v>226</v>
      </c>
      <c r="B9" s="23" t="s">
        <v>227</v>
      </c>
      <c r="C9" s="23" t="s">
        <v>217</v>
      </c>
      <c r="D9" s="23" t="s">
        <v>228</v>
      </c>
      <c r="E9" s="23"/>
      <c r="F9" s="24"/>
      <c r="G9" s="25" t="str">
        <f>IF(E9="No","Not applicable",IF(F9="","",IF(F9=3,"Met",IF(F9=0,"Not met","Partly met"))))</f>
        <v/>
      </c>
      <c r="H9" s="23"/>
      <c r="I9" s="23"/>
      <c r="J9" s="23"/>
      <c r="K9" s="23"/>
      <c r="L9" s="26"/>
      <c r="M9" s="23"/>
    </row>
    <row r="10" ht="30" customHeight="1" spans="1:13" x14ac:dyDescent="0.25">
      <c r="A10" s="22" t="s">
        <v>229</v>
      </c>
      <c r="B10" s="23" t="s">
        <v>230</v>
      </c>
      <c r="C10" s="23" t="s">
        <v>217</v>
      </c>
      <c r="D10" s="23" t="s">
        <v>231</v>
      </c>
      <c r="E10" s="23"/>
      <c r="F10" s="24"/>
      <c r="G10" s="25" t="str">
        <f>IF(E10="No","Not applicable",IF(F10="","",IF(F10=3,"Met",IF(F10=0,"Not met","Partly met"))))</f>
        <v/>
      </c>
      <c r="H10" s="23"/>
      <c r="I10" s="23"/>
      <c r="J10" s="23"/>
      <c r="K10" s="23"/>
      <c r="L10" s="26"/>
      <c r="M10" s="23"/>
    </row>
    <row r="11" ht="30" customHeight="1" spans="1:13" x14ac:dyDescent="0.25">
      <c r="A11" s="22" t="s">
        <v>232</v>
      </c>
      <c r="B11" s="23" t="s">
        <v>233</v>
      </c>
      <c r="C11" s="23" t="s">
        <v>217</v>
      </c>
      <c r="D11" s="23" t="s">
        <v>234</v>
      </c>
      <c r="E11" s="23"/>
      <c r="F11" s="24"/>
      <c r="G11" s="25" t="str">
        <f>IF(E11="No","Not applicable",IF(F11="","",IF(F11=3,"Met",IF(F11=0,"Not met","Partly met"))))</f>
        <v/>
      </c>
      <c r="H11" s="23"/>
      <c r="I11" s="23"/>
      <c r="J11" s="23"/>
      <c r="K11" s="23"/>
      <c r="L11" s="26"/>
      <c r="M11" s="23"/>
    </row>
    <row r="12" ht="32" customHeight="1" spans="1:13" x14ac:dyDescent="0.25">
      <c r="A12" s="22" t="s">
        <v>235</v>
      </c>
      <c r="B12" s="23" t="s">
        <v>236</v>
      </c>
      <c r="C12" s="23" t="s">
        <v>217</v>
      </c>
      <c r="D12" s="23" t="s">
        <v>237</v>
      </c>
      <c r="E12" s="23"/>
      <c r="F12" s="24"/>
      <c r="G12" s="25" t="str">
        <f>IF(E12="No","Not applicable",IF(F12="","",IF(F12=3,"Met",IF(F12=0,"Not met","Partly met"))))</f>
        <v/>
      </c>
      <c r="H12" s="23"/>
      <c r="I12" s="23"/>
      <c r="J12" s="23"/>
      <c r="K12" s="23"/>
      <c r="L12" s="26"/>
      <c r="M12" s="23"/>
    </row>
    <row r="13" ht="32" customHeight="1" spans="1:13" x14ac:dyDescent="0.25">
      <c r="A13" s="22" t="s">
        <v>238</v>
      </c>
      <c r="B13" s="23" t="s">
        <v>239</v>
      </c>
      <c r="C13" s="23" t="s">
        <v>217</v>
      </c>
      <c r="D13" s="23" t="s">
        <v>240</v>
      </c>
      <c r="E13" s="23"/>
      <c r="F13" s="24"/>
      <c r="G13" s="25" t="str">
        <f>IF(E13="No","Not applicable",IF(F13="","",IF(F13=3,"Met",IF(F13=0,"Not met","Partly met"))))</f>
        <v/>
      </c>
      <c r="H13" s="23"/>
      <c r="I13" s="23"/>
      <c r="J13" s="23"/>
      <c r="K13" s="23"/>
      <c r="L13" s="26"/>
      <c r="M13" s="23"/>
    </row>
    <row r="14" ht="32" customHeight="1" spans="1:13" x14ac:dyDescent="0.25">
      <c r="A14" s="22" t="s">
        <v>241</v>
      </c>
      <c r="B14" s="23" t="s">
        <v>242</v>
      </c>
      <c r="C14" s="23" t="s">
        <v>217</v>
      </c>
      <c r="D14" s="23" t="s">
        <v>243</v>
      </c>
      <c r="E14" s="23"/>
      <c r="F14" s="24"/>
      <c r="G14" s="25" t="str">
        <f>IF(E14="No","Not applicable",IF(F14="","",IF(F14=3,"Met",IF(F14=0,"Not met","Partly met"))))</f>
        <v/>
      </c>
      <c r="H14" s="23"/>
      <c r="I14" s="23"/>
      <c r="J14" s="23"/>
      <c r="K14" s="23"/>
      <c r="L14" s="26"/>
      <c r="M14" s="23"/>
    </row>
    <row r="15" ht="30" customHeight="1" spans="1:13" x14ac:dyDescent="0.25">
      <c r="A15" s="22" t="s">
        <v>244</v>
      </c>
      <c r="B15" s="23" t="s">
        <v>245</v>
      </c>
      <c r="C15" s="23" t="s">
        <v>217</v>
      </c>
      <c r="D15" s="23" t="s">
        <v>246</v>
      </c>
      <c r="E15" s="23"/>
      <c r="F15" s="24"/>
      <c r="G15" s="25" t="str">
        <f>IF(E15="No","Not applicable",IF(F15="","",IF(F15=3,"Met",IF(F15=0,"Not met","Partly met"))))</f>
        <v/>
      </c>
      <c r="H15" s="23"/>
      <c r="I15" s="23"/>
      <c r="J15" s="23"/>
      <c r="K15" s="23"/>
      <c r="L15" s="26"/>
      <c r="M15" s="23"/>
    </row>
    <row r="16" ht="30" customHeight="1" spans="1:13" x14ac:dyDescent="0.25">
      <c r="A16" s="22" t="s">
        <v>247</v>
      </c>
      <c r="B16" s="23" t="s">
        <v>248</v>
      </c>
      <c r="C16" s="23" t="s">
        <v>217</v>
      </c>
      <c r="D16" s="23" t="s">
        <v>249</v>
      </c>
      <c r="E16" s="23"/>
      <c r="F16" s="24"/>
      <c r="G16" s="25" t="str">
        <f>IF(E16="No","Not applicable",IF(F16="","",IF(F16=3,"Met",IF(F16=0,"Not met","Partly met"))))</f>
        <v/>
      </c>
      <c r="H16" s="23"/>
      <c r="I16" s="23"/>
      <c r="J16" s="23"/>
      <c r="K16" s="23"/>
      <c r="L16" s="26"/>
      <c r="M16" s="23"/>
    </row>
    <row r="17" ht="30" customHeight="1" spans="1:13" x14ac:dyDescent="0.25">
      <c r="A17" s="22" t="s">
        <v>250</v>
      </c>
      <c r="B17" s="23" t="s">
        <v>251</v>
      </c>
      <c r="C17" s="23" t="s">
        <v>217</v>
      </c>
      <c r="D17" s="23" t="s">
        <v>252</v>
      </c>
      <c r="E17" s="23"/>
      <c r="F17" s="24"/>
      <c r="G17" s="25" t="str">
        <f>IF(E17="No","Not applicable",IF(F17="","",IF(F17=3,"Met",IF(F17=0,"Not met","Partly met"))))</f>
        <v/>
      </c>
      <c r="H17" s="23"/>
      <c r="I17" s="23"/>
      <c r="J17" s="23"/>
      <c r="K17" s="23"/>
      <c r="L17" s="26"/>
      <c r="M17" s="23"/>
    </row>
    <row r="18" ht="32" customHeight="1" spans="1:13" x14ac:dyDescent="0.25">
      <c r="A18" s="22" t="s">
        <v>253</v>
      </c>
      <c r="B18" s="23" t="s">
        <v>254</v>
      </c>
      <c r="C18" s="23" t="s">
        <v>217</v>
      </c>
      <c r="D18" s="23" t="s">
        <v>255</v>
      </c>
      <c r="E18" s="23"/>
      <c r="F18" s="24"/>
      <c r="G18" s="25" t="str">
        <f>IF(E18="No","Not applicable",IF(F18="","",IF(F18=3,"Met",IF(F18=0,"Not met","Partly met"))))</f>
        <v/>
      </c>
      <c r="H18" s="23"/>
      <c r="I18" s="23"/>
      <c r="J18" s="23"/>
      <c r="K18" s="23"/>
      <c r="L18" s="26"/>
      <c r="M18" s="23"/>
    </row>
    <row r="19" ht="30" customHeight="1" spans="1:13" x14ac:dyDescent="0.25">
      <c r="A19" s="22" t="s">
        <v>256</v>
      </c>
      <c r="B19" s="23" t="s">
        <v>257</v>
      </c>
      <c r="C19" s="23" t="s">
        <v>217</v>
      </c>
      <c r="D19" s="23" t="s">
        <v>258</v>
      </c>
      <c r="E19" s="23"/>
      <c r="F19" s="24"/>
      <c r="G19" s="25" t="str">
        <f>IF(E19="No","Not applicable",IF(F19="","",IF(F19=3,"Met",IF(F19=0,"Not met","Partly met"))))</f>
        <v/>
      </c>
      <c r="H19" s="23"/>
      <c r="I19" s="23"/>
      <c r="J19" s="23"/>
      <c r="K19" s="23"/>
      <c r="L19" s="26"/>
      <c r="M19" s="23"/>
    </row>
    <row r="20" ht="32" customHeight="1" spans="1:13" x14ac:dyDescent="0.25">
      <c r="A20" s="22" t="s">
        <v>259</v>
      </c>
      <c r="B20" s="23" t="s">
        <v>260</v>
      </c>
      <c r="C20" s="23" t="s">
        <v>217</v>
      </c>
      <c r="D20" s="23" t="s">
        <v>261</v>
      </c>
      <c r="E20" s="23"/>
      <c r="F20" s="24"/>
      <c r="G20" s="25" t="str">
        <f>IF(E20="No","Not applicable",IF(F20="","",IF(F20=3,"Met",IF(F20=0,"Not met","Partly met"))))</f>
        <v/>
      </c>
      <c r="H20" s="23"/>
      <c r="I20" s="23"/>
      <c r="J20" s="23"/>
      <c r="K20" s="23"/>
      <c r="L20" s="26"/>
      <c r="M20" s="23"/>
    </row>
    <row r="21" ht="30" customHeight="1" spans="1:13" x14ac:dyDescent="0.25">
      <c r="A21" s="22" t="s">
        <v>262</v>
      </c>
      <c r="B21" s="23" t="s">
        <v>263</v>
      </c>
      <c r="C21" s="23" t="s">
        <v>217</v>
      </c>
      <c r="D21" s="23" t="s">
        <v>264</v>
      </c>
      <c r="E21" s="23"/>
      <c r="F21" s="24"/>
      <c r="G21" s="25" t="str">
        <f>IF(E21="No","Not applicable",IF(F21="","",IF(F21=3,"Met",IF(F21=0,"Not met","Partly met"))))</f>
        <v/>
      </c>
      <c r="H21" s="23"/>
      <c r="I21" s="23"/>
      <c r="J21" s="23"/>
      <c r="K21" s="23"/>
      <c r="L21" s="26"/>
      <c r="M21" s="23"/>
    </row>
    <row r="22" ht="30" customHeight="1" spans="1:13" x14ac:dyDescent="0.25">
      <c r="A22" s="22" t="s">
        <v>265</v>
      </c>
      <c r="B22" s="23" t="s">
        <v>266</v>
      </c>
      <c r="C22" s="23" t="s">
        <v>217</v>
      </c>
      <c r="D22" s="23" t="s">
        <v>267</v>
      </c>
      <c r="E22" s="23"/>
      <c r="F22" s="24"/>
      <c r="G22" s="25" t="str">
        <f>IF(E22="No","Not applicable",IF(F22="","",IF(F22=3,"Met",IF(F22=0,"Not met","Partly met"))))</f>
        <v/>
      </c>
      <c r="H22" s="23"/>
      <c r="I22" s="23"/>
      <c r="J22" s="23"/>
      <c r="K22" s="23"/>
      <c r="L22" s="26"/>
      <c r="M22" s="23"/>
    </row>
    <row r="23" ht="32" customHeight="1" spans="1:13" x14ac:dyDescent="0.25">
      <c r="A23" s="22" t="s">
        <v>268</v>
      </c>
      <c r="B23" s="23" t="s">
        <v>269</v>
      </c>
      <c r="C23" s="23" t="s">
        <v>217</v>
      </c>
      <c r="D23" s="23" t="s">
        <v>270</v>
      </c>
      <c r="E23" s="23"/>
      <c r="F23" s="24"/>
      <c r="G23" s="25" t="str">
        <f>IF(E23="No","Not applicable",IF(F23="","",IF(F23=3,"Met",IF(F23=0,"Not met","Partly met"))))</f>
        <v/>
      </c>
      <c r="H23" s="23"/>
      <c r="I23" s="23"/>
      <c r="J23" s="23"/>
      <c r="K23" s="23"/>
      <c r="L23" s="26"/>
      <c r="M23" s="23"/>
    </row>
    <row r="24" ht="32" customHeight="1" spans="1:13" x14ac:dyDescent="0.25">
      <c r="A24" s="22" t="s">
        <v>271</v>
      </c>
      <c r="B24" s="23" t="s">
        <v>272</v>
      </c>
      <c r="C24" s="23" t="s">
        <v>217</v>
      </c>
      <c r="D24" s="23" t="s">
        <v>273</v>
      </c>
      <c r="E24" s="23"/>
      <c r="F24" s="24"/>
      <c r="G24" s="25" t="str">
        <f>IF(E24="No","Not applicable",IF(F24="","",IF(F24=3,"Met",IF(F24=0,"Not met","Partly met"))))</f>
        <v/>
      </c>
      <c r="H24" s="23"/>
      <c r="I24" s="23"/>
      <c r="J24" s="23"/>
      <c r="K24" s="23"/>
      <c r="L24" s="26"/>
      <c r="M24" s="23"/>
    </row>
    <row r="25" ht="32" customHeight="1" spans="1:13" x14ac:dyDescent="0.25">
      <c r="A25" s="22" t="s">
        <v>274</v>
      </c>
      <c r="B25" s="23" t="s">
        <v>275</v>
      </c>
      <c r="C25" s="23" t="s">
        <v>217</v>
      </c>
      <c r="D25" s="23" t="s">
        <v>276</v>
      </c>
      <c r="E25" s="23"/>
      <c r="F25" s="24"/>
      <c r="G25" s="25" t="str">
        <f>IF(E25="No","Not applicable",IF(F25="","",IF(F25=3,"Met",IF(F25=0,"Not met","Partly met"))))</f>
        <v/>
      </c>
      <c r="H25" s="23"/>
      <c r="I25" s="23"/>
      <c r="J25" s="23"/>
      <c r="K25" s="23"/>
      <c r="L25" s="26"/>
      <c r="M25" s="23"/>
    </row>
    <row r="26" ht="32" customHeight="1" spans="1:13" x14ac:dyDescent="0.25">
      <c r="A26" s="22" t="s">
        <v>277</v>
      </c>
      <c r="B26" s="23" t="s">
        <v>278</v>
      </c>
      <c r="C26" s="23" t="s">
        <v>217</v>
      </c>
      <c r="D26" s="23" t="s">
        <v>279</v>
      </c>
      <c r="E26" s="23"/>
      <c r="F26" s="24"/>
      <c r="G26" s="25" t="str">
        <f>IF(E26="No","Not applicable",IF(F26="","",IF(F26=3,"Met",IF(F26=0,"Not met","Partly met"))))</f>
        <v/>
      </c>
      <c r="H26" s="23"/>
      <c r="I26" s="23"/>
      <c r="J26" s="23"/>
      <c r="K26" s="23"/>
      <c r="L26" s="26"/>
      <c r="M26" s="23"/>
    </row>
    <row r="27" ht="32" customHeight="1" spans="1:13" x14ac:dyDescent="0.25">
      <c r="A27" s="22" t="s">
        <v>280</v>
      </c>
      <c r="B27" s="23" t="s">
        <v>281</v>
      </c>
      <c r="C27" s="23" t="s">
        <v>217</v>
      </c>
      <c r="D27" s="23" t="s">
        <v>282</v>
      </c>
      <c r="E27" s="23"/>
      <c r="F27" s="24"/>
      <c r="G27" s="25" t="str">
        <f>IF(E27="No","Not applicable",IF(F27="","",IF(F27=3,"Met",IF(F27=0,"Not met","Partly met"))))</f>
        <v/>
      </c>
      <c r="H27" s="23"/>
      <c r="I27" s="23"/>
      <c r="J27" s="23"/>
      <c r="K27" s="23"/>
      <c r="L27" s="26"/>
      <c r="M27" s="23"/>
    </row>
    <row r="28" ht="32" customHeight="1" spans="1:13" x14ac:dyDescent="0.25">
      <c r="A28" s="22" t="s">
        <v>283</v>
      </c>
      <c r="B28" s="23" t="s">
        <v>284</v>
      </c>
      <c r="C28" s="23" t="s">
        <v>217</v>
      </c>
      <c r="D28" s="23" t="s">
        <v>285</v>
      </c>
      <c r="E28" s="23"/>
      <c r="F28" s="24"/>
      <c r="G28" s="25" t="str">
        <f>IF(E28="No","Not applicable",IF(F28="","",IF(F28=3,"Met",IF(F28=0,"Not met","Partly met"))))</f>
        <v/>
      </c>
      <c r="H28" s="23"/>
      <c r="I28" s="23"/>
      <c r="J28" s="23"/>
      <c r="K28" s="23"/>
      <c r="L28" s="26"/>
      <c r="M28" s="23"/>
    </row>
    <row r="29" ht="32" customHeight="1" spans="1:13" x14ac:dyDescent="0.25">
      <c r="A29" s="22" t="s">
        <v>286</v>
      </c>
      <c r="B29" s="23" t="s">
        <v>287</v>
      </c>
      <c r="C29" s="23" t="s">
        <v>217</v>
      </c>
      <c r="D29" s="23" t="s">
        <v>288</v>
      </c>
      <c r="E29" s="23"/>
      <c r="F29" s="24"/>
      <c r="G29" s="25" t="str">
        <f>IF(E29="No","Not applicable",IF(F29="","",IF(F29=3,"Met",IF(F29=0,"Not met","Partly met"))))</f>
        <v/>
      </c>
      <c r="H29" s="23"/>
      <c r="I29" s="23"/>
      <c r="J29" s="23"/>
      <c r="K29" s="23"/>
      <c r="L29" s="26"/>
      <c r="M29" s="23"/>
    </row>
    <row r="30" ht="32" customHeight="1" spans="1:13" x14ac:dyDescent="0.25">
      <c r="A30" s="22" t="s">
        <v>289</v>
      </c>
      <c r="B30" s="23" t="s">
        <v>290</v>
      </c>
      <c r="C30" s="23" t="s">
        <v>217</v>
      </c>
      <c r="D30" s="23" t="s">
        <v>291</v>
      </c>
      <c r="E30" s="23"/>
      <c r="F30" s="24"/>
      <c r="G30" s="25" t="str">
        <f>IF(E30="No","Not applicable",IF(F30="","",IF(F30=3,"Met",IF(F30=0,"Not met","Partly met"))))</f>
        <v/>
      </c>
      <c r="H30" s="23"/>
      <c r="I30" s="23"/>
      <c r="J30" s="23"/>
      <c r="K30" s="23"/>
      <c r="L30" s="26"/>
      <c r="M30" s="23"/>
    </row>
    <row r="31" ht="32" customHeight="1" spans="1:13" x14ac:dyDescent="0.25">
      <c r="A31" s="22" t="s">
        <v>292</v>
      </c>
      <c r="B31" s="23" t="s">
        <v>293</v>
      </c>
      <c r="C31" s="23" t="s">
        <v>217</v>
      </c>
      <c r="D31" s="23" t="s">
        <v>294</v>
      </c>
      <c r="E31" s="23"/>
      <c r="F31" s="24"/>
      <c r="G31" s="25" t="str">
        <f>IF(E31="No","Not applicable",IF(F31="","",IF(F31=3,"Met",IF(F31=0,"Not met","Partly met"))))</f>
        <v/>
      </c>
      <c r="H31" s="23"/>
      <c r="I31" s="23"/>
      <c r="J31" s="23"/>
      <c r="K31" s="23"/>
      <c r="L31" s="26"/>
      <c r="M31" s="23"/>
    </row>
    <row r="32" ht="30" customHeight="1" spans="1:13" x14ac:dyDescent="0.25">
      <c r="A32" s="22" t="s">
        <v>295</v>
      </c>
      <c r="B32" s="23" t="s">
        <v>296</v>
      </c>
      <c r="C32" s="23" t="s">
        <v>217</v>
      </c>
      <c r="D32" s="23" t="s">
        <v>297</v>
      </c>
      <c r="E32" s="23"/>
      <c r="F32" s="24"/>
      <c r="G32" s="25" t="str">
        <f>IF(E32="No","Not applicable",IF(F32="","",IF(F32=3,"Met",IF(F32=0,"Not met","Partly met"))))</f>
        <v/>
      </c>
      <c r="H32" s="23"/>
      <c r="I32" s="23"/>
      <c r="J32" s="23"/>
      <c r="K32" s="23"/>
      <c r="L32" s="26"/>
      <c r="M32" s="23"/>
    </row>
    <row r="33" ht="30" customHeight="1" spans="1:13" x14ac:dyDescent="0.25">
      <c r="A33" s="22" t="s">
        <v>298</v>
      </c>
      <c r="B33" s="23" t="s">
        <v>299</v>
      </c>
      <c r="C33" s="23" t="s">
        <v>217</v>
      </c>
      <c r="D33" s="23" t="s">
        <v>300</v>
      </c>
      <c r="E33" s="23"/>
      <c r="F33" s="24"/>
      <c r="G33" s="25" t="str">
        <f>IF(E33="No","Not applicable",IF(F33="","",IF(F33=3,"Met",IF(F33=0,"Not met","Partly met"))))</f>
        <v/>
      </c>
      <c r="H33" s="23"/>
      <c r="I33" s="23"/>
      <c r="J33" s="23"/>
      <c r="K33" s="23"/>
      <c r="L33" s="26"/>
      <c r="M33" s="23"/>
    </row>
    <row r="34" ht="32" customHeight="1" spans="1:13" x14ac:dyDescent="0.25">
      <c r="A34" s="22" t="s">
        <v>301</v>
      </c>
      <c r="B34" s="23" t="s">
        <v>302</v>
      </c>
      <c r="C34" s="23" t="s">
        <v>217</v>
      </c>
      <c r="D34" s="23" t="s">
        <v>303</v>
      </c>
      <c r="E34" s="23"/>
      <c r="F34" s="24"/>
      <c r="G34" s="25" t="str">
        <f>IF(E34="No","Not applicable",IF(F34="","",IF(F34=3,"Met",IF(F34=0,"Not met","Partly met"))))</f>
        <v/>
      </c>
      <c r="H34" s="23"/>
      <c r="I34" s="23"/>
      <c r="J34" s="23"/>
      <c r="K34" s="23"/>
      <c r="L34" s="26"/>
      <c r="M34" s="23"/>
    </row>
    <row r="35" ht="32" customHeight="1" spans="1:13" x14ac:dyDescent="0.25">
      <c r="A35" s="22" t="s">
        <v>304</v>
      </c>
      <c r="B35" s="23" t="s">
        <v>305</v>
      </c>
      <c r="C35" s="23" t="s">
        <v>217</v>
      </c>
      <c r="D35" s="23" t="s">
        <v>306</v>
      </c>
      <c r="E35" s="23"/>
      <c r="F35" s="24"/>
      <c r="G35" s="25" t="str">
        <f>IF(E35="No","Not applicable",IF(F35="","",IF(F35=3,"Met",IF(F35=0,"Not met","Partly met"))))</f>
        <v/>
      </c>
      <c r="H35" s="23"/>
      <c r="I35" s="23"/>
      <c r="J35" s="23"/>
      <c r="K35" s="23"/>
      <c r="L35" s="26"/>
      <c r="M35" s="23"/>
    </row>
    <row r="36" ht="30" customHeight="1" spans="1:13" x14ac:dyDescent="0.25">
      <c r="A36" s="22" t="s">
        <v>307</v>
      </c>
      <c r="B36" s="23" t="s">
        <v>308</v>
      </c>
      <c r="C36" s="23" t="s">
        <v>217</v>
      </c>
      <c r="D36" s="23" t="s">
        <v>309</v>
      </c>
      <c r="E36" s="23"/>
      <c r="F36" s="24"/>
      <c r="G36" s="25" t="str">
        <f>IF(E36="No","Not applicable",IF(F36="","",IF(F36=3,"Met",IF(F36=0,"Not met","Partly met"))))</f>
        <v/>
      </c>
      <c r="H36" s="23"/>
      <c r="I36" s="23"/>
      <c r="J36" s="23"/>
      <c r="K36" s="23"/>
      <c r="L36" s="26"/>
      <c r="M36" s="23"/>
    </row>
    <row r="37" ht="30" customHeight="1" spans="1:13" x14ac:dyDescent="0.25">
      <c r="A37" s="22" t="s">
        <v>310</v>
      </c>
      <c r="B37" s="23" t="s">
        <v>311</v>
      </c>
      <c r="C37" s="23" t="s">
        <v>217</v>
      </c>
      <c r="D37" s="23" t="s">
        <v>312</v>
      </c>
      <c r="E37" s="23"/>
      <c r="F37" s="24"/>
      <c r="G37" s="25" t="str">
        <f>IF(E37="No","Not applicable",IF(F37="","",IF(F37=3,"Met",IF(F37=0,"Not met","Partly met"))))</f>
        <v/>
      </c>
      <c r="H37" s="23"/>
      <c r="I37" s="23"/>
      <c r="J37" s="23"/>
      <c r="K37" s="23"/>
      <c r="L37" s="26"/>
      <c r="M37" s="23"/>
    </row>
    <row r="38" ht="32" customHeight="1" spans="1:13" x14ac:dyDescent="0.25">
      <c r="A38" s="22" t="s">
        <v>313</v>
      </c>
      <c r="B38" s="23" t="s">
        <v>314</v>
      </c>
      <c r="C38" s="23" t="s">
        <v>217</v>
      </c>
      <c r="D38" s="23" t="s">
        <v>315</v>
      </c>
      <c r="E38" s="23"/>
      <c r="F38" s="24"/>
      <c r="G38" s="25" t="str">
        <f>IF(E38="No","Not applicable",IF(F38="","",IF(F38=3,"Met",IF(F38=0,"Not met","Partly met"))))</f>
        <v/>
      </c>
      <c r="H38" s="23"/>
      <c r="I38" s="23"/>
      <c r="J38" s="23"/>
      <c r="K38" s="23"/>
      <c r="L38" s="26"/>
      <c r="M38" s="23"/>
    </row>
    <row r="39" ht="32" customHeight="1" spans="1:13" x14ac:dyDescent="0.25">
      <c r="A39" s="22" t="s">
        <v>316</v>
      </c>
      <c r="B39" s="23" t="s">
        <v>317</v>
      </c>
      <c r="C39" s="23" t="s">
        <v>217</v>
      </c>
      <c r="D39" s="23" t="s">
        <v>318</v>
      </c>
      <c r="E39" s="23"/>
      <c r="F39" s="24"/>
      <c r="G39" s="25" t="str">
        <f>IF(E39="No","Not applicable",IF(F39="","",IF(F39=3,"Met",IF(F39=0,"Not met","Partly met"))))</f>
        <v/>
      </c>
      <c r="H39" s="23"/>
      <c r="I39" s="23"/>
      <c r="J39" s="23"/>
      <c r="K39" s="23"/>
      <c r="L39" s="26"/>
      <c r="M39" s="23"/>
    </row>
    <row r="40" ht="32" customHeight="1" spans="1:13" x14ac:dyDescent="0.25">
      <c r="A40" s="22" t="s">
        <v>319</v>
      </c>
      <c r="B40" s="23" t="s">
        <v>320</v>
      </c>
      <c r="C40" s="23" t="s">
        <v>217</v>
      </c>
      <c r="D40" s="23" t="s">
        <v>321</v>
      </c>
      <c r="E40" s="23"/>
      <c r="F40" s="24"/>
      <c r="G40" s="25" t="str">
        <f>IF(E40="No","Not applicable",IF(F40="","",IF(F40=3,"Met",IF(F40=0,"Not met","Partly met"))))</f>
        <v/>
      </c>
      <c r="H40" s="23"/>
      <c r="I40" s="23"/>
      <c r="J40" s="23"/>
      <c r="K40" s="23"/>
      <c r="L40" s="26"/>
      <c r="M40" s="23"/>
    </row>
    <row r="41" ht="32" customHeight="1" spans="1:13" x14ac:dyDescent="0.25">
      <c r="A41" s="22" t="s">
        <v>322</v>
      </c>
      <c r="B41" s="23" t="s">
        <v>323</v>
      </c>
      <c r="C41" s="23" t="s">
        <v>217</v>
      </c>
      <c r="D41" s="23" t="s">
        <v>324</v>
      </c>
      <c r="E41" s="23"/>
      <c r="F41" s="24"/>
      <c r="G41" s="25" t="str">
        <f>IF(E41="No","Not applicable",IF(F41="","",IF(F41=3,"Met",IF(F41=0,"Not met","Partly met"))))</f>
        <v/>
      </c>
      <c r="H41" s="23"/>
      <c r="I41" s="23"/>
      <c r="J41" s="23"/>
      <c r="K41" s="23"/>
      <c r="L41" s="26"/>
      <c r="M41" s="23"/>
    </row>
    <row r="42" ht="32" customHeight="1" spans="1:13" x14ac:dyDescent="0.25">
      <c r="A42" s="27" t="s">
        <v>325</v>
      </c>
      <c r="B42" s="8" t="s">
        <v>326</v>
      </c>
      <c r="C42" s="8" t="s">
        <v>327</v>
      </c>
      <c r="D42" s="8" t="s">
        <v>328</v>
      </c>
      <c r="E42" s="8"/>
      <c r="F42" s="13"/>
      <c r="G42" s="25" t="str">
        <f>IF(E42="No","Not applicable",IF(F42="","",IF(F42=3,"Met",IF(F42=0,"Not met","Partly met"))))</f>
        <v/>
      </c>
      <c r="H42" s="8"/>
      <c r="I42" s="8"/>
      <c r="J42" s="8"/>
      <c r="K42" s="8"/>
      <c r="L42" s="28"/>
      <c r="M42" s="8"/>
    </row>
    <row r="43" ht="30" customHeight="1" spans="1:13" x14ac:dyDescent="0.25">
      <c r="A43" s="27" t="s">
        <v>149</v>
      </c>
      <c r="B43" s="8" t="s">
        <v>329</v>
      </c>
      <c r="C43" s="8" t="s">
        <v>327</v>
      </c>
      <c r="D43" s="8" t="s">
        <v>330</v>
      </c>
      <c r="E43" s="8"/>
      <c r="F43" s="13"/>
      <c r="G43" s="25" t="str">
        <f>IF(E43="No","Not applicable",IF(F43="","",IF(F43=3,"Met",IF(F43=0,"Not met","Partly met"))))</f>
        <v/>
      </c>
      <c r="H43" s="8"/>
      <c r="I43" s="8"/>
      <c r="J43" s="8"/>
      <c r="K43" s="8"/>
      <c r="L43" s="28"/>
      <c r="M43" s="8"/>
    </row>
    <row r="44" ht="32" customHeight="1" spans="1:13" x14ac:dyDescent="0.25">
      <c r="A44" s="27" t="s">
        <v>153</v>
      </c>
      <c r="B44" s="8" t="s">
        <v>331</v>
      </c>
      <c r="C44" s="8" t="s">
        <v>327</v>
      </c>
      <c r="D44" s="8" t="s">
        <v>332</v>
      </c>
      <c r="E44" s="8"/>
      <c r="F44" s="13"/>
      <c r="G44" s="25" t="str">
        <f>IF(E44="No","Not applicable",IF(F44="","",IF(F44=3,"Met",IF(F44=0,"Not met","Partly met"))))</f>
        <v/>
      </c>
      <c r="H44" s="8"/>
      <c r="I44" s="8"/>
      <c r="J44" s="8"/>
      <c r="K44" s="8"/>
      <c r="L44" s="28"/>
      <c r="M44" s="8"/>
    </row>
    <row r="45" ht="30" customHeight="1" spans="1:13" x14ac:dyDescent="0.25">
      <c r="A45" s="27" t="s">
        <v>333</v>
      </c>
      <c r="B45" s="8" t="s">
        <v>334</v>
      </c>
      <c r="C45" s="8" t="s">
        <v>327</v>
      </c>
      <c r="D45" s="8" t="s">
        <v>335</v>
      </c>
      <c r="E45" s="8"/>
      <c r="F45" s="13"/>
      <c r="G45" s="25" t="str">
        <f>IF(E45="No","Not applicable",IF(F45="","",IF(F45=3,"Met",IF(F45=0,"Not met","Partly met"))))</f>
        <v/>
      </c>
      <c r="H45" s="8"/>
      <c r="I45" s="8"/>
      <c r="J45" s="8"/>
      <c r="K45" s="8"/>
      <c r="L45" s="28"/>
      <c r="M45" s="8"/>
    </row>
    <row r="46" ht="32" customHeight="1" spans="1:13" x14ac:dyDescent="0.25">
      <c r="A46" s="27" t="s">
        <v>336</v>
      </c>
      <c r="B46" s="8" t="s">
        <v>337</v>
      </c>
      <c r="C46" s="8" t="s">
        <v>327</v>
      </c>
      <c r="D46" s="8" t="s">
        <v>338</v>
      </c>
      <c r="E46" s="8"/>
      <c r="F46" s="13"/>
      <c r="G46" s="25" t="str">
        <f>IF(E46="No","Not applicable",IF(F46="","",IF(F46=3,"Met",IF(F46=0,"Not met","Partly met"))))</f>
        <v/>
      </c>
      <c r="H46" s="8"/>
      <c r="I46" s="8"/>
      <c r="J46" s="8"/>
      <c r="K46" s="8"/>
      <c r="L46" s="28"/>
      <c r="M46" s="8"/>
    </row>
    <row r="47" ht="32" customHeight="1" spans="1:13" x14ac:dyDescent="0.25">
      <c r="A47" s="27" t="s">
        <v>339</v>
      </c>
      <c r="B47" s="8" t="s">
        <v>340</v>
      </c>
      <c r="C47" s="8" t="s">
        <v>327</v>
      </c>
      <c r="D47" s="8" t="s">
        <v>341</v>
      </c>
      <c r="E47" s="8"/>
      <c r="F47" s="13"/>
      <c r="G47" s="25" t="str">
        <f>IF(E47="No","Not applicable",IF(F47="","",IF(F47=3,"Met",IF(F47=0,"Not met","Partly met"))))</f>
        <v/>
      </c>
      <c r="H47" s="8"/>
      <c r="I47" s="8"/>
      <c r="J47" s="8"/>
      <c r="K47" s="8"/>
      <c r="L47" s="28"/>
      <c r="M47" s="8"/>
    </row>
    <row r="48" ht="32" customHeight="1" spans="1:13" x14ac:dyDescent="0.25">
      <c r="A48" s="27" t="s">
        <v>342</v>
      </c>
      <c r="B48" s="8" t="s">
        <v>343</v>
      </c>
      <c r="C48" s="8" t="s">
        <v>327</v>
      </c>
      <c r="D48" s="8" t="s">
        <v>344</v>
      </c>
      <c r="E48" s="8"/>
      <c r="F48" s="13"/>
      <c r="G48" s="25" t="str">
        <f>IF(E48="No","Not applicable",IF(F48="","",IF(F48=3,"Met",IF(F48=0,"Not met","Partly met"))))</f>
        <v/>
      </c>
      <c r="H48" s="8"/>
      <c r="I48" s="8"/>
      <c r="J48" s="8"/>
      <c r="K48" s="8"/>
      <c r="L48" s="28"/>
      <c r="M48" s="8"/>
    </row>
    <row r="49" ht="30" customHeight="1" spans="1:13" x14ac:dyDescent="0.25">
      <c r="A49" s="27" t="s">
        <v>345</v>
      </c>
      <c r="B49" s="8" t="s">
        <v>346</v>
      </c>
      <c r="C49" s="8" t="s">
        <v>327</v>
      </c>
      <c r="D49" s="8" t="s">
        <v>347</v>
      </c>
      <c r="E49" s="8"/>
      <c r="F49" s="13"/>
      <c r="G49" s="25" t="str">
        <f>IF(E49="No","Not applicable",IF(F49="","",IF(F49=3,"Met",IF(F49=0,"Not met","Partly met"))))</f>
        <v/>
      </c>
      <c r="H49" s="8"/>
      <c r="I49" s="8"/>
      <c r="J49" s="8"/>
      <c r="K49" s="8"/>
      <c r="L49" s="28"/>
      <c r="M49" s="8"/>
    </row>
    <row r="50" ht="32" customHeight="1" spans="1:13" x14ac:dyDescent="0.25">
      <c r="A50" s="22" t="s">
        <v>157</v>
      </c>
      <c r="B50" s="23" t="s">
        <v>348</v>
      </c>
      <c r="C50" s="23" t="s">
        <v>349</v>
      </c>
      <c r="D50" s="23" t="s">
        <v>350</v>
      </c>
      <c r="E50" s="23"/>
      <c r="F50" s="24"/>
      <c r="G50" s="25" t="str">
        <f>IF(E50="No","Not applicable",IF(F50="","",IF(F50=3,"Met",IF(F50=0,"Not met","Partly met"))))</f>
        <v/>
      </c>
      <c r="H50" s="23"/>
      <c r="I50" s="23"/>
      <c r="J50" s="23"/>
      <c r="K50" s="23"/>
      <c r="L50" s="26"/>
      <c r="M50" s="23"/>
    </row>
    <row r="51" ht="30" customHeight="1" spans="1:13" x14ac:dyDescent="0.25">
      <c r="A51" s="22" t="s">
        <v>161</v>
      </c>
      <c r="B51" s="23" t="s">
        <v>351</v>
      </c>
      <c r="C51" s="23" t="s">
        <v>349</v>
      </c>
      <c r="D51" s="23" t="s">
        <v>352</v>
      </c>
      <c r="E51" s="23"/>
      <c r="F51" s="24"/>
      <c r="G51" s="25" t="str">
        <f>IF(E51="No","Not applicable",IF(F51="","",IF(F51=3,"Met",IF(F51=0,"Not met","Partly met"))))</f>
        <v/>
      </c>
      <c r="H51" s="23"/>
      <c r="I51" s="23"/>
      <c r="J51" s="23"/>
      <c r="K51" s="23"/>
      <c r="L51" s="26"/>
      <c r="M51" s="23"/>
    </row>
    <row r="52" ht="30" customHeight="1" spans="1:13" x14ac:dyDescent="0.25">
      <c r="A52" s="22" t="s">
        <v>165</v>
      </c>
      <c r="B52" s="23" t="s">
        <v>353</v>
      </c>
      <c r="C52" s="23" t="s">
        <v>349</v>
      </c>
      <c r="D52" s="23" t="s">
        <v>354</v>
      </c>
      <c r="E52" s="23"/>
      <c r="F52" s="24"/>
      <c r="G52" s="25" t="str">
        <f>IF(E52="No","Not applicable",IF(F52="","",IF(F52=3,"Met",IF(F52=0,"Not met","Partly met"))))</f>
        <v/>
      </c>
      <c r="H52" s="23"/>
      <c r="I52" s="23"/>
      <c r="J52" s="23"/>
      <c r="K52" s="23"/>
      <c r="L52" s="26"/>
      <c r="M52" s="23"/>
    </row>
    <row r="53" ht="32" customHeight="1" spans="1:13" x14ac:dyDescent="0.25">
      <c r="A53" s="22" t="s">
        <v>169</v>
      </c>
      <c r="B53" s="23" t="s">
        <v>355</v>
      </c>
      <c r="C53" s="23" t="s">
        <v>349</v>
      </c>
      <c r="D53" s="23" t="s">
        <v>356</v>
      </c>
      <c r="E53" s="23"/>
      <c r="F53" s="24"/>
      <c r="G53" s="25" t="str">
        <f>IF(E53="No","Not applicable",IF(F53="","",IF(F53=3,"Met",IF(F53=0,"Not met","Partly met"))))</f>
        <v/>
      </c>
      <c r="H53" s="23"/>
      <c r="I53" s="23"/>
      <c r="J53" s="23"/>
      <c r="K53" s="23"/>
      <c r="L53" s="26"/>
      <c r="M53" s="23"/>
    </row>
    <row r="54" ht="32" customHeight="1" spans="1:13" x14ac:dyDescent="0.25">
      <c r="A54" s="22" t="s">
        <v>173</v>
      </c>
      <c r="B54" s="23" t="s">
        <v>357</v>
      </c>
      <c r="C54" s="23" t="s">
        <v>349</v>
      </c>
      <c r="D54" s="23" t="s">
        <v>358</v>
      </c>
      <c r="E54" s="23"/>
      <c r="F54" s="24"/>
      <c r="G54" s="25" t="str">
        <f>IF(E54="No","Not applicable",IF(F54="","",IF(F54=3,"Met",IF(F54=0,"Not met","Partly met"))))</f>
        <v/>
      </c>
      <c r="H54" s="23"/>
      <c r="I54" s="23"/>
      <c r="J54" s="23"/>
      <c r="K54" s="23"/>
      <c r="L54" s="26"/>
      <c r="M54" s="23"/>
    </row>
    <row r="55" ht="30" customHeight="1" spans="1:13" x14ac:dyDescent="0.25">
      <c r="A55" s="22" t="s">
        <v>359</v>
      </c>
      <c r="B55" s="23" t="s">
        <v>360</v>
      </c>
      <c r="C55" s="23" t="s">
        <v>349</v>
      </c>
      <c r="D55" s="23" t="s">
        <v>361</v>
      </c>
      <c r="E55" s="23"/>
      <c r="F55" s="24"/>
      <c r="G55" s="25" t="str">
        <f>IF(E55="No","Not applicable",IF(F55="","",IF(F55=3,"Met",IF(F55=0,"Not met","Partly met"))))</f>
        <v/>
      </c>
      <c r="H55" s="23"/>
      <c r="I55" s="23"/>
      <c r="J55" s="23"/>
      <c r="K55" s="23"/>
      <c r="L55" s="26"/>
      <c r="M55" s="23"/>
    </row>
    <row r="56" ht="30" customHeight="1" spans="1:13" x14ac:dyDescent="0.25">
      <c r="A56" s="22" t="s">
        <v>362</v>
      </c>
      <c r="B56" s="23" t="s">
        <v>363</v>
      </c>
      <c r="C56" s="23" t="s">
        <v>349</v>
      </c>
      <c r="D56" s="23" t="s">
        <v>364</v>
      </c>
      <c r="E56" s="23"/>
      <c r="F56" s="24"/>
      <c r="G56" s="25" t="str">
        <f>IF(E56="No","Not applicable",IF(F56="","",IF(F56=3,"Met",IF(F56=0,"Not met","Partly met"))))</f>
        <v/>
      </c>
      <c r="H56" s="23"/>
      <c r="I56" s="23"/>
      <c r="J56" s="23"/>
      <c r="K56" s="23"/>
      <c r="L56" s="26"/>
      <c r="M56" s="23"/>
    </row>
    <row r="57" ht="30" customHeight="1" spans="1:13" x14ac:dyDescent="0.25">
      <c r="A57" s="22" t="s">
        <v>365</v>
      </c>
      <c r="B57" s="23" t="s">
        <v>366</v>
      </c>
      <c r="C57" s="23" t="s">
        <v>349</v>
      </c>
      <c r="D57" s="23" t="s">
        <v>367</v>
      </c>
      <c r="E57" s="23"/>
      <c r="F57" s="24"/>
      <c r="G57" s="25" t="str">
        <f>IF(E57="No","Not applicable",IF(F57="","",IF(F57=3,"Met",IF(F57=0,"Not met","Partly met"))))</f>
        <v/>
      </c>
      <c r="H57" s="23"/>
      <c r="I57" s="23"/>
      <c r="J57" s="23"/>
      <c r="K57" s="23"/>
      <c r="L57" s="26"/>
      <c r="M57" s="23"/>
    </row>
    <row r="58" ht="32" customHeight="1" spans="1:13" x14ac:dyDescent="0.25">
      <c r="A58" s="22" t="s">
        <v>368</v>
      </c>
      <c r="B58" s="23" t="s">
        <v>369</v>
      </c>
      <c r="C58" s="23" t="s">
        <v>349</v>
      </c>
      <c r="D58" s="23" t="s">
        <v>370</v>
      </c>
      <c r="E58" s="23"/>
      <c r="F58" s="24"/>
      <c r="G58" s="25" t="str">
        <f>IF(E58="No","Not applicable",IF(F58="","",IF(F58=3,"Met",IF(F58=0,"Not met","Partly met"))))</f>
        <v/>
      </c>
      <c r="H58" s="23"/>
      <c r="I58" s="23"/>
      <c r="J58" s="23"/>
      <c r="K58" s="23"/>
      <c r="L58" s="26"/>
      <c r="M58" s="23"/>
    </row>
    <row r="59" ht="30" customHeight="1" spans="1:13" x14ac:dyDescent="0.25">
      <c r="A59" s="22" t="s">
        <v>371</v>
      </c>
      <c r="B59" s="23" t="s">
        <v>372</v>
      </c>
      <c r="C59" s="23" t="s">
        <v>349</v>
      </c>
      <c r="D59" s="23" t="s">
        <v>373</v>
      </c>
      <c r="E59" s="23"/>
      <c r="F59" s="24"/>
      <c r="G59" s="25" t="str">
        <f>IF(E59="No","Not applicable",IF(F59="","",IF(F59=3,"Met",IF(F59=0,"Not met","Partly met"))))</f>
        <v/>
      </c>
      <c r="H59" s="23"/>
      <c r="I59" s="23"/>
      <c r="J59" s="23"/>
      <c r="K59" s="23"/>
      <c r="L59" s="26"/>
      <c r="M59" s="23"/>
    </row>
    <row r="60" ht="30" customHeight="1" spans="1:13" x14ac:dyDescent="0.25">
      <c r="A60" s="22" t="s">
        <v>374</v>
      </c>
      <c r="B60" s="23" t="s">
        <v>375</v>
      </c>
      <c r="C60" s="23" t="s">
        <v>349</v>
      </c>
      <c r="D60" s="23" t="s">
        <v>376</v>
      </c>
      <c r="E60" s="23"/>
      <c r="F60" s="24"/>
      <c r="G60" s="25" t="str">
        <f>IF(E60="No","Not applicable",IF(F60="","",IF(F60=3,"Met",IF(F60=0,"Not met","Partly met"))))</f>
        <v/>
      </c>
      <c r="H60" s="23"/>
      <c r="I60" s="23"/>
      <c r="J60" s="23"/>
      <c r="K60" s="23"/>
      <c r="L60" s="26"/>
      <c r="M60" s="23"/>
    </row>
    <row r="61" ht="30" customHeight="1" spans="1:13" x14ac:dyDescent="0.25">
      <c r="A61" s="22" t="s">
        <v>377</v>
      </c>
      <c r="B61" s="23" t="s">
        <v>378</v>
      </c>
      <c r="C61" s="23" t="s">
        <v>349</v>
      </c>
      <c r="D61" s="23" t="s">
        <v>379</v>
      </c>
      <c r="E61" s="23"/>
      <c r="F61" s="24"/>
      <c r="G61" s="25" t="str">
        <f>IF(E61="No","Not applicable",IF(F61="","",IF(F61=3,"Met",IF(F61=0,"Not met","Partly met"))))</f>
        <v/>
      </c>
      <c r="H61" s="23"/>
      <c r="I61" s="23"/>
      <c r="J61" s="23"/>
      <c r="K61" s="23"/>
      <c r="L61" s="26"/>
      <c r="M61" s="23"/>
    </row>
    <row r="62" ht="30" customHeight="1" spans="1:13" x14ac:dyDescent="0.25">
      <c r="A62" s="22" t="s">
        <v>380</v>
      </c>
      <c r="B62" s="23" t="s">
        <v>381</v>
      </c>
      <c r="C62" s="23" t="s">
        <v>349</v>
      </c>
      <c r="D62" s="23" t="s">
        <v>382</v>
      </c>
      <c r="E62" s="23"/>
      <c r="F62" s="24"/>
      <c r="G62" s="25" t="str">
        <f>IF(E62="No","Not applicable",IF(F62="","",IF(F62=3,"Met",IF(F62=0,"Not met","Partly met"))))</f>
        <v/>
      </c>
      <c r="H62" s="23"/>
      <c r="I62" s="23"/>
      <c r="J62" s="23"/>
      <c r="K62" s="23"/>
      <c r="L62" s="26"/>
      <c r="M62" s="23"/>
    </row>
    <row r="63" ht="30" customHeight="1" spans="1:13" x14ac:dyDescent="0.25">
      <c r="A63" s="22" t="s">
        <v>383</v>
      </c>
      <c r="B63" s="23" t="s">
        <v>384</v>
      </c>
      <c r="C63" s="23" t="s">
        <v>349</v>
      </c>
      <c r="D63" s="23" t="s">
        <v>385</v>
      </c>
      <c r="E63" s="23"/>
      <c r="F63" s="24"/>
      <c r="G63" s="25" t="str">
        <f>IF(E63="No","Not applicable",IF(F63="","",IF(F63=3,"Met",IF(F63=0,"Not met","Partly met"))))</f>
        <v/>
      </c>
      <c r="H63" s="23"/>
      <c r="I63" s="23"/>
      <c r="J63" s="23"/>
      <c r="K63" s="23"/>
      <c r="L63" s="26"/>
      <c r="M63" s="23"/>
    </row>
    <row r="64" ht="32" customHeight="1" spans="1:13" x14ac:dyDescent="0.25">
      <c r="A64" s="27" t="s">
        <v>177</v>
      </c>
      <c r="B64" s="8" t="s">
        <v>386</v>
      </c>
      <c r="C64" s="8" t="s">
        <v>387</v>
      </c>
      <c r="D64" s="8" t="s">
        <v>388</v>
      </c>
      <c r="E64" s="8"/>
      <c r="F64" s="13"/>
      <c r="G64" s="25" t="str">
        <f>IF(E64="No","Not applicable",IF(F64="","",IF(F64=3,"Met",IF(F64=0,"Not met","Partly met"))))</f>
        <v/>
      </c>
      <c r="H64" s="8"/>
      <c r="I64" s="8"/>
      <c r="J64" s="8"/>
      <c r="K64" s="8"/>
      <c r="L64" s="28"/>
      <c r="M64" s="8"/>
    </row>
    <row r="65" ht="30" customHeight="1" spans="1:13" x14ac:dyDescent="0.25">
      <c r="A65" s="27" t="s">
        <v>181</v>
      </c>
      <c r="B65" s="8" t="s">
        <v>389</v>
      </c>
      <c r="C65" s="8" t="s">
        <v>387</v>
      </c>
      <c r="D65" s="8" t="s">
        <v>390</v>
      </c>
      <c r="E65" s="8"/>
      <c r="F65" s="13"/>
      <c r="G65" s="25" t="str">
        <f>IF(E65="No","Not applicable",IF(F65="","",IF(F65=3,"Met",IF(F65=0,"Not met","Partly met"))))</f>
        <v/>
      </c>
      <c r="H65" s="8"/>
      <c r="I65" s="8"/>
      <c r="J65" s="8"/>
      <c r="K65" s="8"/>
      <c r="L65" s="28"/>
      <c r="M65" s="8"/>
    </row>
    <row r="66" ht="32" customHeight="1" spans="1:13" x14ac:dyDescent="0.25">
      <c r="A66" s="27" t="s">
        <v>185</v>
      </c>
      <c r="B66" s="8" t="s">
        <v>391</v>
      </c>
      <c r="C66" s="8" t="s">
        <v>387</v>
      </c>
      <c r="D66" s="8" t="s">
        <v>392</v>
      </c>
      <c r="E66" s="8"/>
      <c r="F66" s="13"/>
      <c r="G66" s="25" t="str">
        <f>IF(E66="No","Not applicable",IF(F66="","",IF(F66=3,"Met",IF(F66=0,"Not met","Partly met"))))</f>
        <v/>
      </c>
      <c r="H66" s="8"/>
      <c r="I66" s="8"/>
      <c r="J66" s="8"/>
      <c r="K66" s="8"/>
      <c r="L66" s="28"/>
      <c r="M66" s="8"/>
    </row>
    <row r="67" ht="30" customHeight="1" spans="1:13" x14ac:dyDescent="0.25">
      <c r="A67" s="27" t="s">
        <v>393</v>
      </c>
      <c r="B67" s="8" t="s">
        <v>394</v>
      </c>
      <c r="C67" s="8" t="s">
        <v>387</v>
      </c>
      <c r="D67" s="8" t="s">
        <v>395</v>
      </c>
      <c r="E67" s="8"/>
      <c r="F67" s="13"/>
      <c r="G67" s="25" t="str">
        <f>IF(E67="No","Not applicable",IF(F67="","",IF(F67=3,"Met",IF(F67=0,"Not met","Partly met"))))</f>
        <v/>
      </c>
      <c r="H67" s="8"/>
      <c r="I67" s="8"/>
      <c r="J67" s="8"/>
      <c r="K67" s="8"/>
      <c r="L67" s="28"/>
      <c r="M67" s="8"/>
    </row>
    <row r="68" ht="32" customHeight="1" spans="1:13" x14ac:dyDescent="0.25">
      <c r="A68" s="27" t="s">
        <v>396</v>
      </c>
      <c r="B68" s="8" t="s">
        <v>397</v>
      </c>
      <c r="C68" s="8" t="s">
        <v>387</v>
      </c>
      <c r="D68" s="8" t="s">
        <v>398</v>
      </c>
      <c r="E68" s="8"/>
      <c r="F68" s="13"/>
      <c r="G68" s="25" t="str">
        <f>IF(E68="No","Not applicable",IF(F68="","",IF(F68=3,"Met",IF(F68=0,"Not met","Partly met"))))</f>
        <v/>
      </c>
      <c r="H68" s="8"/>
      <c r="I68" s="8"/>
      <c r="J68" s="8"/>
      <c r="K68" s="8"/>
      <c r="L68" s="28"/>
      <c r="M68" s="8"/>
    </row>
    <row r="69" ht="30" customHeight="1" spans="1:13" x14ac:dyDescent="0.25">
      <c r="A69" s="27" t="s">
        <v>399</v>
      </c>
      <c r="B69" s="8" t="s">
        <v>400</v>
      </c>
      <c r="C69" s="8" t="s">
        <v>387</v>
      </c>
      <c r="D69" s="8" t="s">
        <v>401</v>
      </c>
      <c r="E69" s="8"/>
      <c r="F69" s="13"/>
      <c r="G69" s="25" t="str">
        <f>IF(E69="No","Not applicable",IF(F69="","",IF(F69=3,"Met",IF(F69=0,"Not met","Partly met"))))</f>
        <v/>
      </c>
      <c r="H69" s="8"/>
      <c r="I69" s="8"/>
      <c r="J69" s="8"/>
      <c r="K69" s="8"/>
      <c r="L69" s="28"/>
      <c r="M69" s="8"/>
    </row>
    <row r="70" ht="30" customHeight="1" spans="1:13" x14ac:dyDescent="0.25">
      <c r="A70" s="27" t="s">
        <v>402</v>
      </c>
      <c r="B70" s="8" t="s">
        <v>403</v>
      </c>
      <c r="C70" s="8" t="s">
        <v>387</v>
      </c>
      <c r="D70" s="8" t="s">
        <v>404</v>
      </c>
      <c r="E70" s="8"/>
      <c r="F70" s="13"/>
      <c r="G70" s="25" t="str">
        <f>IF(E70="No","Not applicable",IF(F70="","",IF(F70=3,"Met",IF(F70=0,"Not met","Partly met"))))</f>
        <v/>
      </c>
      <c r="H70" s="8"/>
      <c r="I70" s="8"/>
      <c r="J70" s="8"/>
      <c r="K70" s="8"/>
      <c r="L70" s="28"/>
      <c r="M70" s="8"/>
    </row>
    <row r="71" ht="30" customHeight="1" spans="1:13" x14ac:dyDescent="0.25">
      <c r="A71" s="27" t="s">
        <v>405</v>
      </c>
      <c r="B71" s="8" t="s">
        <v>406</v>
      </c>
      <c r="C71" s="8" t="s">
        <v>387</v>
      </c>
      <c r="D71" s="8" t="s">
        <v>407</v>
      </c>
      <c r="E71" s="8"/>
      <c r="F71" s="13"/>
      <c r="G71" s="25" t="str">
        <f>IF(E71="No","Not applicable",IF(F71="","",IF(F71=3,"Met",IF(F71=0,"Not met","Partly met"))))</f>
        <v/>
      </c>
      <c r="H71" s="8"/>
      <c r="I71" s="8"/>
      <c r="J71" s="8"/>
      <c r="K71" s="8"/>
      <c r="L71" s="28"/>
      <c r="M71" s="8"/>
    </row>
    <row r="72" ht="30" customHeight="1" spans="1:13" x14ac:dyDescent="0.25">
      <c r="A72" s="27" t="s">
        <v>408</v>
      </c>
      <c r="B72" s="8" t="s">
        <v>409</v>
      </c>
      <c r="C72" s="8" t="s">
        <v>387</v>
      </c>
      <c r="D72" s="8" t="s">
        <v>410</v>
      </c>
      <c r="E72" s="8"/>
      <c r="F72" s="13"/>
      <c r="G72" s="25" t="str">
        <f>IF(E72="No","Not applicable",IF(F72="","",IF(F72=3,"Met",IF(F72=0,"Not met","Partly met"))))</f>
        <v/>
      </c>
      <c r="H72" s="8"/>
      <c r="I72" s="8"/>
      <c r="J72" s="8"/>
      <c r="K72" s="8"/>
      <c r="L72" s="28"/>
      <c r="M72" s="8"/>
    </row>
    <row r="73" ht="32" customHeight="1" spans="1:13" x14ac:dyDescent="0.25">
      <c r="A73" s="27" t="s">
        <v>411</v>
      </c>
      <c r="B73" s="8" t="s">
        <v>412</v>
      </c>
      <c r="C73" s="8" t="s">
        <v>387</v>
      </c>
      <c r="D73" s="8" t="s">
        <v>413</v>
      </c>
      <c r="E73" s="8"/>
      <c r="F73" s="13"/>
      <c r="G73" s="25" t="str">
        <f>IF(E73="No","Not applicable",IF(F73="","",IF(F73=3,"Met",IF(F73=0,"Not met","Partly met"))))</f>
        <v/>
      </c>
      <c r="H73" s="8"/>
      <c r="I73" s="8"/>
      <c r="J73" s="8"/>
      <c r="K73" s="8"/>
      <c r="L73" s="28"/>
      <c r="M73" s="8"/>
    </row>
    <row r="74" ht="30" customHeight="1" spans="1:13" x14ac:dyDescent="0.25">
      <c r="A74" s="27" t="s">
        <v>414</v>
      </c>
      <c r="B74" s="8" t="s">
        <v>415</v>
      </c>
      <c r="C74" s="8" t="s">
        <v>387</v>
      </c>
      <c r="D74" s="8" t="s">
        <v>416</v>
      </c>
      <c r="E74" s="8"/>
      <c r="F74" s="13"/>
      <c r="G74" s="25" t="str">
        <f>IF(E74="No","Not applicable",IF(F74="","",IF(F74=3,"Met",IF(F74=0,"Not met","Partly met"))))</f>
        <v/>
      </c>
      <c r="H74" s="8"/>
      <c r="I74" s="8"/>
      <c r="J74" s="8"/>
      <c r="K74" s="8"/>
      <c r="L74" s="28"/>
      <c r="M74" s="8"/>
    </row>
    <row r="75" ht="32" customHeight="1" spans="1:13" x14ac:dyDescent="0.25">
      <c r="A75" s="27" t="s">
        <v>417</v>
      </c>
      <c r="B75" s="8" t="s">
        <v>418</v>
      </c>
      <c r="C75" s="8" t="s">
        <v>387</v>
      </c>
      <c r="D75" s="8" t="s">
        <v>419</v>
      </c>
      <c r="E75" s="8"/>
      <c r="F75" s="13"/>
      <c r="G75" s="25" t="str">
        <f>IF(E75="No","Not applicable",IF(F75="","",IF(F75=3,"Met",IF(F75=0,"Not met","Partly met"))))</f>
        <v/>
      </c>
      <c r="H75" s="8"/>
      <c r="I75" s="8"/>
      <c r="J75" s="8"/>
      <c r="K75" s="8"/>
      <c r="L75" s="28"/>
      <c r="M75" s="8"/>
    </row>
    <row r="76" ht="30" customHeight="1" spans="1:13" x14ac:dyDescent="0.25">
      <c r="A76" s="27" t="s">
        <v>420</v>
      </c>
      <c r="B76" s="8" t="s">
        <v>421</v>
      </c>
      <c r="C76" s="8" t="s">
        <v>387</v>
      </c>
      <c r="D76" s="8" t="s">
        <v>422</v>
      </c>
      <c r="E76" s="8"/>
      <c r="F76" s="13"/>
      <c r="G76" s="25" t="str">
        <f>IF(E76="No","Not applicable",IF(F76="","",IF(F76=3,"Met",IF(F76=0,"Not met","Partly met"))))</f>
        <v/>
      </c>
      <c r="H76" s="8"/>
      <c r="I76" s="8"/>
      <c r="J76" s="8"/>
      <c r="K76" s="8"/>
      <c r="L76" s="28"/>
      <c r="M76" s="8"/>
    </row>
    <row r="77" ht="32" customHeight="1" spans="1:13" x14ac:dyDescent="0.25">
      <c r="A77" s="27" t="s">
        <v>423</v>
      </c>
      <c r="B77" s="8" t="s">
        <v>424</v>
      </c>
      <c r="C77" s="8" t="s">
        <v>387</v>
      </c>
      <c r="D77" s="8" t="s">
        <v>425</v>
      </c>
      <c r="E77" s="8"/>
      <c r="F77" s="13"/>
      <c r="G77" s="25" t="str">
        <f>IF(E77="No","Not applicable",IF(F77="","",IF(F77=3,"Met",IF(F77=0,"Not met","Partly met"))))</f>
        <v/>
      </c>
      <c r="H77" s="8"/>
      <c r="I77" s="8"/>
      <c r="J77" s="8"/>
      <c r="K77" s="8"/>
      <c r="L77" s="28"/>
      <c r="M77" s="8"/>
    </row>
    <row r="78" ht="30" customHeight="1" spans="1:13" x14ac:dyDescent="0.25">
      <c r="A78" s="27" t="s">
        <v>426</v>
      </c>
      <c r="B78" s="8" t="s">
        <v>427</v>
      </c>
      <c r="C78" s="8" t="s">
        <v>387</v>
      </c>
      <c r="D78" s="8" t="s">
        <v>428</v>
      </c>
      <c r="E78" s="8"/>
      <c r="F78" s="13"/>
      <c r="G78" s="25" t="str">
        <f>IF(E78="No","Not applicable",IF(F78="","",IF(F78=3,"Met",IF(F78=0,"Not met","Partly met"))))</f>
        <v/>
      </c>
      <c r="H78" s="8"/>
      <c r="I78" s="8"/>
      <c r="J78" s="8"/>
      <c r="K78" s="8"/>
      <c r="L78" s="28"/>
      <c r="M78" s="8"/>
    </row>
    <row r="79" ht="30" customHeight="1" spans="1:13" x14ac:dyDescent="0.25">
      <c r="A79" s="27" t="s">
        <v>429</v>
      </c>
      <c r="B79" s="8" t="s">
        <v>430</v>
      </c>
      <c r="C79" s="8" t="s">
        <v>387</v>
      </c>
      <c r="D79" s="8" t="s">
        <v>431</v>
      </c>
      <c r="E79" s="8"/>
      <c r="F79" s="13"/>
      <c r="G79" s="25" t="str">
        <f>IF(E79="No","Not applicable",IF(F79="","",IF(F79=3,"Met",IF(F79=0,"Not met","Partly met"))))</f>
        <v/>
      </c>
      <c r="H79" s="8"/>
      <c r="I79" s="8"/>
      <c r="J79" s="8"/>
      <c r="K79" s="8"/>
      <c r="L79" s="28"/>
      <c r="M79" s="8"/>
    </row>
    <row r="80" ht="30" customHeight="1" spans="1:13" x14ac:dyDescent="0.25">
      <c r="A80" s="27" t="s">
        <v>432</v>
      </c>
      <c r="B80" s="8" t="s">
        <v>433</v>
      </c>
      <c r="C80" s="8" t="s">
        <v>387</v>
      </c>
      <c r="D80" s="8" t="s">
        <v>434</v>
      </c>
      <c r="E80" s="8"/>
      <c r="F80" s="13"/>
      <c r="G80" s="25" t="str">
        <f>IF(E80="No","Not applicable",IF(F80="","",IF(F80=3,"Met",IF(F80=0,"Not met","Partly met"))))</f>
        <v/>
      </c>
      <c r="H80" s="8"/>
      <c r="I80" s="8"/>
      <c r="J80" s="8"/>
      <c r="K80" s="8"/>
      <c r="L80" s="28"/>
      <c r="M80" s="8"/>
    </row>
    <row r="81" ht="30" customHeight="1" spans="1:13" x14ac:dyDescent="0.25">
      <c r="A81" s="27" t="s">
        <v>435</v>
      </c>
      <c r="B81" s="8" t="s">
        <v>436</v>
      </c>
      <c r="C81" s="8" t="s">
        <v>387</v>
      </c>
      <c r="D81" s="8" t="s">
        <v>437</v>
      </c>
      <c r="E81" s="8"/>
      <c r="F81" s="13"/>
      <c r="G81" s="25" t="str">
        <f>IF(E81="No","Not applicable",IF(F81="","",IF(F81=3,"Met",IF(F81=0,"Not met","Partly met"))))</f>
        <v/>
      </c>
      <c r="H81" s="8"/>
      <c r="I81" s="8"/>
      <c r="J81" s="8"/>
      <c r="K81" s="8"/>
      <c r="L81" s="28"/>
      <c r="M81" s="8"/>
    </row>
    <row r="82" ht="32" customHeight="1" spans="1:13" x14ac:dyDescent="0.25">
      <c r="A82" s="27" t="s">
        <v>438</v>
      </c>
      <c r="B82" s="8" t="s">
        <v>439</v>
      </c>
      <c r="C82" s="8" t="s">
        <v>387</v>
      </c>
      <c r="D82" s="8" t="s">
        <v>440</v>
      </c>
      <c r="E82" s="8"/>
      <c r="F82" s="13"/>
      <c r="G82" s="25" t="str">
        <f>IF(E82="No","Not applicable",IF(F82="","",IF(F82=3,"Met",IF(F82=0,"Not met","Partly met"))))</f>
        <v/>
      </c>
      <c r="H82" s="8"/>
      <c r="I82" s="8"/>
      <c r="J82" s="8"/>
      <c r="K82" s="8"/>
      <c r="L82" s="28"/>
      <c r="M82" s="8"/>
    </row>
    <row r="83" ht="30" customHeight="1" spans="1:13" x14ac:dyDescent="0.25">
      <c r="A83" s="27" t="s">
        <v>441</v>
      </c>
      <c r="B83" s="8" t="s">
        <v>442</v>
      </c>
      <c r="C83" s="8" t="s">
        <v>387</v>
      </c>
      <c r="D83" s="8" t="s">
        <v>443</v>
      </c>
      <c r="E83" s="8"/>
      <c r="F83" s="13"/>
      <c r="G83" s="25" t="str">
        <f>IF(E83="No","Not applicable",IF(F83="","",IF(F83=3,"Met",IF(F83=0,"Not met","Partly met"))))</f>
        <v/>
      </c>
      <c r="H83" s="8"/>
      <c r="I83" s="8"/>
      <c r="J83" s="8"/>
      <c r="K83" s="8"/>
      <c r="L83" s="28"/>
      <c r="M83" s="8"/>
    </row>
    <row r="84" ht="30" customHeight="1" spans="1:13" x14ac:dyDescent="0.25">
      <c r="A84" s="27" t="s">
        <v>444</v>
      </c>
      <c r="B84" s="8" t="s">
        <v>445</v>
      </c>
      <c r="C84" s="8" t="s">
        <v>387</v>
      </c>
      <c r="D84" s="8" t="s">
        <v>446</v>
      </c>
      <c r="E84" s="8"/>
      <c r="F84" s="13"/>
      <c r="G84" s="25" t="str">
        <f>IF(E84="No","Not applicable",IF(F84="","",IF(F84=3,"Met",IF(F84=0,"Not met","Partly met"))))</f>
        <v/>
      </c>
      <c r="H84" s="8"/>
      <c r="I84" s="8"/>
      <c r="J84" s="8"/>
      <c r="K84" s="8"/>
      <c r="L84" s="28"/>
      <c r="M84" s="8"/>
    </row>
    <row r="85" ht="30" customHeight="1" spans="1:13" x14ac:dyDescent="0.25">
      <c r="A85" s="27" t="s">
        <v>447</v>
      </c>
      <c r="B85" s="8" t="s">
        <v>448</v>
      </c>
      <c r="C85" s="8" t="s">
        <v>387</v>
      </c>
      <c r="D85" s="8" t="s">
        <v>449</v>
      </c>
      <c r="E85" s="8"/>
      <c r="F85" s="13"/>
      <c r="G85" s="25" t="str">
        <f>IF(E85="No","Not applicable",IF(F85="","",IF(F85=3,"Met",IF(F85=0,"Not met","Partly met"))))</f>
        <v/>
      </c>
      <c r="H85" s="8"/>
      <c r="I85" s="8"/>
      <c r="J85" s="8"/>
      <c r="K85" s="8"/>
      <c r="L85" s="28"/>
      <c r="M85" s="8"/>
    </row>
    <row r="86" ht="30" customHeight="1" spans="1:13" x14ac:dyDescent="0.25">
      <c r="A86" s="27" t="s">
        <v>450</v>
      </c>
      <c r="B86" s="8" t="s">
        <v>451</v>
      </c>
      <c r="C86" s="8" t="s">
        <v>387</v>
      </c>
      <c r="D86" s="8" t="s">
        <v>452</v>
      </c>
      <c r="E86" s="8"/>
      <c r="F86" s="13"/>
      <c r="G86" s="25" t="str">
        <f>IF(E86="No","Not applicable",IF(F86="","",IF(F86=3,"Met",IF(F86=0,"Not met","Partly met"))))</f>
        <v/>
      </c>
      <c r="H86" s="8"/>
      <c r="I86" s="8"/>
      <c r="J86" s="8"/>
      <c r="K86" s="8"/>
      <c r="L86" s="28"/>
      <c r="M86" s="8"/>
    </row>
    <row r="87" ht="30" customHeight="1" spans="1:13" x14ac:dyDescent="0.25">
      <c r="A87" s="27" t="s">
        <v>453</v>
      </c>
      <c r="B87" s="8" t="s">
        <v>454</v>
      </c>
      <c r="C87" s="8" t="s">
        <v>387</v>
      </c>
      <c r="D87" s="8" t="s">
        <v>455</v>
      </c>
      <c r="E87" s="8"/>
      <c r="F87" s="13"/>
      <c r="G87" s="25" t="str">
        <f>IF(E87="No","Not applicable",IF(F87="","",IF(F87=3,"Met",IF(F87=0,"Not met","Partly met"))))</f>
        <v/>
      </c>
      <c r="H87" s="8"/>
      <c r="I87" s="8"/>
      <c r="J87" s="8"/>
      <c r="K87" s="8"/>
      <c r="L87" s="28"/>
      <c r="M87" s="8"/>
    </row>
    <row r="88" ht="30" customHeight="1" spans="1:13" x14ac:dyDescent="0.25">
      <c r="A88" s="27" t="s">
        <v>456</v>
      </c>
      <c r="B88" s="8" t="s">
        <v>457</v>
      </c>
      <c r="C88" s="8" t="s">
        <v>387</v>
      </c>
      <c r="D88" s="8" t="s">
        <v>458</v>
      </c>
      <c r="E88" s="8"/>
      <c r="F88" s="13"/>
      <c r="G88" s="25" t="str">
        <f>IF(E88="No","Not applicable",IF(F88="","",IF(F88=3,"Met",IF(F88=0,"Not met","Partly met"))))</f>
        <v/>
      </c>
      <c r="H88" s="8"/>
      <c r="I88" s="8"/>
      <c r="J88" s="8"/>
      <c r="K88" s="8"/>
      <c r="L88" s="28"/>
      <c r="M88" s="8"/>
    </row>
    <row r="89" ht="30" customHeight="1" spans="1:13" x14ac:dyDescent="0.25">
      <c r="A89" s="27" t="s">
        <v>459</v>
      </c>
      <c r="B89" s="8" t="s">
        <v>460</v>
      </c>
      <c r="C89" s="8" t="s">
        <v>387</v>
      </c>
      <c r="D89" s="8" t="s">
        <v>461</v>
      </c>
      <c r="E89" s="8"/>
      <c r="F89" s="13"/>
      <c r="G89" s="25" t="str">
        <f>IF(E89="No","Not applicable",IF(F89="","",IF(F89=3,"Met",IF(F89=0,"Not met","Partly met"))))</f>
        <v/>
      </c>
      <c r="H89" s="8"/>
      <c r="I89" s="8"/>
      <c r="J89" s="8"/>
      <c r="K89" s="8"/>
      <c r="L89" s="28"/>
      <c r="M89" s="8"/>
    </row>
    <row r="90" ht="32" customHeight="1" spans="1:13" x14ac:dyDescent="0.25">
      <c r="A90" s="27" t="s">
        <v>462</v>
      </c>
      <c r="B90" s="8" t="s">
        <v>463</v>
      </c>
      <c r="C90" s="8" t="s">
        <v>387</v>
      </c>
      <c r="D90" s="8" t="s">
        <v>464</v>
      </c>
      <c r="E90" s="8"/>
      <c r="F90" s="13"/>
      <c r="G90" s="25" t="str">
        <f>IF(E90="No","Not applicable",IF(F90="","",IF(F90=3,"Met",IF(F90=0,"Not met","Partly met"))))</f>
        <v/>
      </c>
      <c r="H90" s="8"/>
      <c r="I90" s="8"/>
      <c r="J90" s="8"/>
      <c r="K90" s="8"/>
      <c r="L90" s="28"/>
      <c r="M90" s="8"/>
    </row>
    <row r="91" ht="30" customHeight="1" spans="1:13" x14ac:dyDescent="0.25">
      <c r="A91" s="27" t="s">
        <v>465</v>
      </c>
      <c r="B91" s="8" t="s">
        <v>466</v>
      </c>
      <c r="C91" s="8" t="s">
        <v>387</v>
      </c>
      <c r="D91" s="8" t="s">
        <v>467</v>
      </c>
      <c r="E91" s="8"/>
      <c r="F91" s="13"/>
      <c r="G91" s="25" t="str">
        <f>IF(E91="No","Not applicable",IF(F91="","",IF(F91=3,"Met",IF(F91=0,"Not met","Partly met"))))</f>
        <v/>
      </c>
      <c r="H91" s="8"/>
      <c r="I91" s="8"/>
      <c r="J91" s="8"/>
      <c r="K91" s="8"/>
      <c r="L91" s="28"/>
      <c r="M91" s="8"/>
    </row>
    <row r="92" ht="32" customHeight="1" spans="1:13" x14ac:dyDescent="0.25">
      <c r="A92" s="27" t="s">
        <v>468</v>
      </c>
      <c r="B92" s="8" t="s">
        <v>469</v>
      </c>
      <c r="C92" s="8" t="s">
        <v>387</v>
      </c>
      <c r="D92" s="8" t="s">
        <v>470</v>
      </c>
      <c r="E92" s="8"/>
      <c r="F92" s="13"/>
      <c r="G92" s="25" t="str">
        <f>IF(E92="No","Not applicable",IF(F92="","",IF(F92=3,"Met",IF(F92=0,"Not met","Partly met"))))</f>
        <v/>
      </c>
      <c r="H92" s="8"/>
      <c r="I92" s="8"/>
      <c r="J92" s="8"/>
      <c r="K92" s="8"/>
      <c r="L92" s="28"/>
      <c r="M92" s="8"/>
    </row>
    <row r="93" ht="30" customHeight="1" spans="1:13" x14ac:dyDescent="0.25">
      <c r="A93" s="27" t="s">
        <v>471</v>
      </c>
      <c r="B93" s="8" t="s">
        <v>472</v>
      </c>
      <c r="C93" s="8" t="s">
        <v>387</v>
      </c>
      <c r="D93" s="8" t="s">
        <v>473</v>
      </c>
      <c r="E93" s="8"/>
      <c r="F93" s="13"/>
      <c r="G93" s="25" t="str">
        <f>IF(E93="No","Not applicable",IF(F93="","",IF(F93=3,"Met",IF(F93=0,"Not met","Partly met"))))</f>
        <v/>
      </c>
      <c r="H93" s="8"/>
      <c r="I93" s="8"/>
      <c r="J93" s="8"/>
      <c r="K93" s="8"/>
      <c r="L93" s="28"/>
      <c r="M93" s="8"/>
    </row>
    <row r="94" ht="32" customHeight="1" spans="1:13" x14ac:dyDescent="0.25">
      <c r="A94" s="27" t="s">
        <v>474</v>
      </c>
      <c r="B94" s="8" t="s">
        <v>475</v>
      </c>
      <c r="C94" s="8" t="s">
        <v>387</v>
      </c>
      <c r="D94" s="8" t="s">
        <v>476</v>
      </c>
      <c r="E94" s="8"/>
      <c r="F94" s="13"/>
      <c r="G94" s="25" t="str">
        <f>IF(E94="No","Not applicable",IF(F94="","",IF(F94=3,"Met",IF(F94=0,"Not met","Partly met"))))</f>
        <v/>
      </c>
      <c r="H94" s="8"/>
      <c r="I94" s="8"/>
      <c r="J94" s="8"/>
      <c r="K94" s="8"/>
      <c r="L94" s="28"/>
      <c r="M94" s="8"/>
    </row>
    <row r="95" ht="30" customHeight="1" spans="1:13" x14ac:dyDescent="0.25">
      <c r="A95" s="27" t="s">
        <v>477</v>
      </c>
      <c r="B95" s="8" t="s">
        <v>478</v>
      </c>
      <c r="C95" s="8" t="s">
        <v>387</v>
      </c>
      <c r="D95" s="8" t="s">
        <v>479</v>
      </c>
      <c r="E95" s="8"/>
      <c r="F95" s="13"/>
      <c r="G95" s="25" t="str">
        <f>IF(E95="No","Not applicable",IF(F95="","",IF(F95=3,"Met",IF(F95=0,"Not met","Partly met"))))</f>
        <v/>
      </c>
      <c r="H95" s="8"/>
      <c r="I95" s="8"/>
      <c r="J95" s="8"/>
      <c r="K95" s="8"/>
      <c r="L95" s="28"/>
      <c r="M95" s="8"/>
    </row>
    <row r="96" ht="30" customHeight="1" spans="1:13" x14ac:dyDescent="0.25">
      <c r="A96" s="27" t="s">
        <v>480</v>
      </c>
      <c r="B96" s="8" t="s">
        <v>481</v>
      </c>
      <c r="C96" s="8" t="s">
        <v>387</v>
      </c>
      <c r="D96" s="8" t="s">
        <v>482</v>
      </c>
      <c r="E96" s="8"/>
      <c r="F96" s="13"/>
      <c r="G96" s="25" t="str">
        <f>IF(E96="No","Not applicable",IF(F96="","",IF(F96=3,"Met",IF(F96=0,"Not met","Partly met"))))</f>
        <v/>
      </c>
      <c r="H96" s="8"/>
      <c r="I96" s="8"/>
      <c r="J96" s="8"/>
      <c r="K96" s="8"/>
      <c r="L96" s="28"/>
      <c r="M96" s="8"/>
    </row>
    <row r="97" ht="32" customHeight="1" spans="1:13" x14ac:dyDescent="0.25">
      <c r="A97" s="27" t="s">
        <v>483</v>
      </c>
      <c r="B97" s="8" t="s">
        <v>484</v>
      </c>
      <c r="C97" s="8" t="s">
        <v>387</v>
      </c>
      <c r="D97" s="8" t="s">
        <v>485</v>
      </c>
      <c r="E97" s="8"/>
      <c r="F97" s="13"/>
      <c r="G97" s="25" t="str">
        <f>IF(E97="No","Not applicable",IF(F97="","",IF(F97=3,"Met",IF(F97=0,"Not met","Partly met"))))</f>
        <v/>
      </c>
      <c r="H97" s="8"/>
      <c r="I97" s="8"/>
      <c r="J97" s="8"/>
      <c r="K97" s="8"/>
      <c r="L97" s="28"/>
      <c r="M97" s="8"/>
    </row>
  </sheetData>
  <autoFilter ref="A4:M97"/>
  <mergeCells count="3">
    <mergeCell ref="A1:M1"/>
    <mergeCell ref="A2:M2"/>
    <mergeCell ref="A3:M3"/>
  </mergeCells>
  <conditionalFormatting sqref="G5:G97">
    <cfRule type="cellIs" dxfId="10" priority="1" operator="equal">
      <formula>"Met"</formula>
    </cfRule>
    <cfRule type="cellIs" dxfId="11" priority="2" operator="equal">
      <formula>"Partly met"</formula>
    </cfRule>
    <cfRule type="cellIs" dxfId="12" priority="3" operator="equal">
      <formula>"Not met"</formula>
    </cfRule>
    <cfRule type="cellIs" dxfId="13" priority="4" operator="equal">
      <formula>"Not applicable"</formula>
    </cfRule>
  </conditionalFormatting>
  <conditionalFormatting sqref="J5:J97">
    <cfRule type="cellIs" dxfId="14" priority="1" operator="equal">
      <formula>"High"</formula>
    </cfRule>
    <cfRule type="cellIs" dxfId="15" priority="2" operator="equal">
      <formula>"Medium"</formula>
    </cfRule>
    <cfRule type="cellIs" dxfId="16" priority="3" operator="equal">
      <formula>"Low"</formula>
    </cfRule>
  </conditionalFormatting>
  <conditionalFormatting sqref="M5:M97">
    <cfRule type="cellIs" dxfId="17" priority="1" operator="equal">
      <formula>"Not started"</formula>
    </cfRule>
    <cfRule type="cellIs" dxfId="18" priority="2" operator="equal">
      <formula>"In progress"</formula>
    </cfRule>
    <cfRule type="cellIs" dxfId="19" priority="3" operator="equal">
      <formula>"Done"</formula>
    </cfRule>
  </conditionalFormatting>
  <dataValidations count="5">
    <dataValidation type="list" allowBlank="1" showInputMessage="1" promptTitle="Applicable?" prompt="Yes if it treats an identified risk or a law or contract demands it; No with a reason otherwise." showErrorMessage="1" errorStyle="stop" errorTitle="Choose from the list" error="Pick one of: Yes, No." sqref="E5:E97">
      <formula1>"Yes,No"</formula1>
    </dataValidation>
    <dataValidation type="list" allowBlank="1" showInputMessage="1" promptTitle="Score" prompt="0 nothing in place, 1 documented or planned, 2 operating but records incomplete, 3 operating with records an auditor could sample." showErrorMessage="1" errorStyle="stop" errorTitle="Choose from the list" error="Pick one of: 0, 1, 2, 3." sqref="F5:F97">
      <formula1>"0,1,2,3"</formula1>
    </dataValidation>
    <dataValidation type="list" allowBlank="1" showInputMessage="1" promptTitle="Priority" prompt="High, Medium or Low, by the risk the gap leaves open." showErrorMessage="1" errorStyle="stop" errorTitle="Choose from the list" error="Pick one of: High, Medium, Low." sqref="J5:J97">
      <formula1>"High,Medium,Low"</formula1>
    </dataValidation>
    <dataValidation type="date" operator="greaterThan" allowBlank="1" showErrorMessage="1" errorStyle="stop" errorTitle="Enter a date" error="Enter a date, for example 30/11/2026." sqref="L5:L97">
      <formula1>36526</formula1>
    </dataValidation>
    <dataValidation type="list" allowBlank="1" showInputMessage="1" promptTitle="Status" prompt="Not started, In progress or Done." showErrorMessage="1" errorStyle="stop" errorTitle="Choose from the list" error="Pick one of: Not started, In progress, Done." sqref="M5:M97">
      <formula1>"Not started,In progress,Done"</formula1>
    </dataValidation>
  </dataValidations>
  <printOptions horizontalCentered="1"/>
  <pageMargins left="0.4" right="0.4" top="0.6" bottom="0.6" header="0.3" footer="0.3"/>
  <pageSetup paperSize="9" orientation="landscape" fitToWidth="1" fitToHeight="0"/>
  <headerFooter>
    <oddHeader>&amp;L&amp;8ISO 27001 gap analysis template, version October 2026&amp;R&amp;8&amp;A</oddHeader>
    <oddFooter>&amp;L&amp;8Sovereign Secure Ltd  |  sovereignsecure.co.uk  |  +44 161 523 5276&amp;R&amp;8Page &amp;P of &amp;N</oddFooter>
  </headerFooter>
  <ignoredErrors>
    <ignoredError sqref="A1:Z300" numberStoredAsText="1" formula="1"/>
  </ignoredError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About this template</vt:lpstr>
      <vt:lpstr>Summary</vt:lpstr>
      <vt:lpstr>Clauses 4 to 10</vt:lpstr>
      <vt:lpstr>Annex A controls</vt:lpstr>
    </vt:vector>
  </TitlesOfParts>
  <Company>Sovereign Secure Ltd</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Sovereign Secure Ltd</dc:creator>
  <dc:title>ISO 27001 gap analysis template (ISO/IEC 27001:2022)</dc:title>
  <dc:subject>ISO/IEC 27001:2022 gap analysis: clauses 4 to 10 and all 93 Annex A controls, scored 0 to 3</dc:subject>
  <dc:description>Version October 2026. Free to use and adapt within your organisation.</dc:description>
  <cp:keywords>ISO 27001, gap analysis, gap analysis template, self-assessment, readiness assessment, ISMS, Annex A</cp:keywords>
  <cp:category/>
  <cp:lastModifiedBy>Sovereign Secure Ltd</cp:lastModifiedBy>
  <dcterms:created xsi:type="dcterms:W3CDTF">2026-10-13T00:00:00Z</dcterms:created>
  <dcterms:modified xsi:type="dcterms:W3CDTF">2026-10-13T00:00:00Z</dcterms:modified>
</cp:coreProperties>
</file>